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GitHub\MAF105\maf105.github.io\Exercicios\Lista2\"/>
    </mc:Choice>
  </mc:AlternateContent>
  <bookViews>
    <workbookView xWindow="0" yWindow="0" windowWidth="24000" windowHeight="9735" firstSheet="6" activeTab="17"/>
  </bookViews>
  <sheets>
    <sheet name="Ex1" sheetId="1" r:id="rId1"/>
    <sheet name="ex2" sheetId="2" r:id="rId2"/>
    <sheet name="ex3" sheetId="3" r:id="rId3"/>
    <sheet name="ex4" sheetId="4" r:id="rId4"/>
    <sheet name="ex5" sheetId="5" r:id="rId5"/>
    <sheet name="ex6" sheetId="6" r:id="rId6"/>
    <sheet name="ex7" sheetId="7" r:id="rId7"/>
    <sheet name="ex11" sheetId="8" r:id="rId8"/>
    <sheet name="ex19" sheetId="9" r:id="rId9"/>
    <sheet name="ex21" sheetId="10" r:id="rId10"/>
    <sheet name="ex23" sheetId="12" r:id="rId11"/>
    <sheet name="ex25" sheetId="13" r:id="rId12"/>
    <sheet name="ex26" sheetId="14" r:id="rId13"/>
    <sheet name="ex29" sheetId="15" r:id="rId14"/>
    <sheet name="ex32" sheetId="17" r:id="rId15"/>
    <sheet name="ex33" sheetId="18" r:id="rId16"/>
    <sheet name="ex38" sheetId="19" r:id="rId17"/>
    <sheet name="ex40" sheetId="2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20" l="1"/>
  <c r="D6" i="20"/>
  <c r="S3" i="19"/>
  <c r="T3" i="19" s="1"/>
  <c r="S7" i="19"/>
  <c r="T7" i="19" s="1"/>
  <c r="S11" i="19"/>
  <c r="T11" i="19" s="1"/>
  <c r="S15" i="19"/>
  <c r="T15" i="19" s="1"/>
  <c r="S19" i="19"/>
  <c r="T19" i="19" s="1"/>
  <c r="S23" i="19"/>
  <c r="T23" i="19" s="1"/>
  <c r="K3" i="19"/>
  <c r="L3" i="19" s="1"/>
  <c r="K7" i="19"/>
  <c r="L7" i="19" s="1"/>
  <c r="K11" i="19"/>
  <c r="L11" i="19" s="1"/>
  <c r="K15" i="19"/>
  <c r="L15" i="19" s="1"/>
  <c r="K19" i="19"/>
  <c r="L19" i="19" s="1"/>
  <c r="K23" i="19"/>
  <c r="L23" i="19" s="1"/>
  <c r="S2" i="19"/>
  <c r="T2" i="19" s="1"/>
  <c r="R28" i="19"/>
  <c r="R27" i="19"/>
  <c r="S4" i="19" s="1"/>
  <c r="T4" i="19" s="1"/>
  <c r="O28" i="19"/>
  <c r="O27" i="19"/>
  <c r="J28" i="19"/>
  <c r="J27" i="19"/>
  <c r="K4" i="19" s="1"/>
  <c r="L4" i="19" s="1"/>
  <c r="G28" i="19"/>
  <c r="G27" i="19"/>
  <c r="F28" i="19"/>
  <c r="F27" i="19"/>
  <c r="C28" i="19"/>
  <c r="C27" i="19"/>
  <c r="D15" i="19" s="1"/>
  <c r="E15" i="19" s="1"/>
  <c r="D19" i="19" l="1"/>
  <c r="E19" i="19" s="1"/>
  <c r="D4" i="19"/>
  <c r="E4" i="19" s="1"/>
  <c r="D8" i="19"/>
  <c r="E8" i="19" s="1"/>
  <c r="D12" i="19"/>
  <c r="E12" i="19" s="1"/>
  <c r="D16" i="19"/>
  <c r="E16" i="19" s="1"/>
  <c r="D20" i="19"/>
  <c r="E20" i="19" s="1"/>
  <c r="D24" i="19"/>
  <c r="E24" i="19" s="1"/>
  <c r="D5" i="19"/>
  <c r="E5" i="19" s="1"/>
  <c r="D9" i="19"/>
  <c r="E9" i="19" s="1"/>
  <c r="D13" i="19"/>
  <c r="E13" i="19" s="1"/>
  <c r="D17" i="19"/>
  <c r="E17" i="19" s="1"/>
  <c r="D21" i="19"/>
  <c r="E21" i="19" s="1"/>
  <c r="D25" i="19"/>
  <c r="E25" i="19" s="1"/>
  <c r="D7" i="19"/>
  <c r="E7" i="19" s="1"/>
  <c r="D6" i="19"/>
  <c r="E6" i="19" s="1"/>
  <c r="D10" i="19"/>
  <c r="E10" i="19" s="1"/>
  <c r="D14" i="19"/>
  <c r="E14" i="19" s="1"/>
  <c r="D18" i="19"/>
  <c r="E18" i="19" s="1"/>
  <c r="D22" i="19"/>
  <c r="E22" i="19" s="1"/>
  <c r="D26" i="19"/>
  <c r="E26" i="19" s="1"/>
  <c r="D3" i="19"/>
  <c r="E3" i="19" s="1"/>
  <c r="P4" i="19"/>
  <c r="Q4" i="19" s="1"/>
  <c r="P8" i="19"/>
  <c r="Q8" i="19" s="1"/>
  <c r="P12" i="19"/>
  <c r="Q12" i="19" s="1"/>
  <c r="P16" i="19"/>
  <c r="Q16" i="19" s="1"/>
  <c r="P20" i="19"/>
  <c r="Q20" i="19" s="1"/>
  <c r="P24" i="19"/>
  <c r="Q24" i="19" s="1"/>
  <c r="P2" i="19"/>
  <c r="P11" i="19"/>
  <c r="Q11" i="19" s="1"/>
  <c r="P19" i="19"/>
  <c r="Q19" i="19" s="1"/>
  <c r="P5" i="19"/>
  <c r="Q5" i="19" s="1"/>
  <c r="P9" i="19"/>
  <c r="Q9" i="19" s="1"/>
  <c r="P13" i="19"/>
  <c r="Q13" i="19" s="1"/>
  <c r="P17" i="19"/>
  <c r="Q17" i="19" s="1"/>
  <c r="P21" i="19"/>
  <c r="Q21" i="19" s="1"/>
  <c r="P25" i="19"/>
  <c r="Q25" i="19" s="1"/>
  <c r="P3" i="19"/>
  <c r="Q3" i="19" s="1"/>
  <c r="P15" i="19"/>
  <c r="Q15" i="19" s="1"/>
  <c r="P23" i="19"/>
  <c r="Q23" i="19" s="1"/>
  <c r="P6" i="19"/>
  <c r="Q6" i="19" s="1"/>
  <c r="P10" i="19"/>
  <c r="Q10" i="19" s="1"/>
  <c r="P14" i="19"/>
  <c r="Q14" i="19" s="1"/>
  <c r="P18" i="19"/>
  <c r="Q18" i="19" s="1"/>
  <c r="P22" i="19"/>
  <c r="Q22" i="19" s="1"/>
  <c r="P26" i="19"/>
  <c r="Q26" i="19" s="1"/>
  <c r="P7" i="19"/>
  <c r="Q7" i="19" s="1"/>
  <c r="D11" i="19"/>
  <c r="E11" i="19" s="1"/>
  <c r="H4" i="19"/>
  <c r="I4" i="19" s="1"/>
  <c r="H8" i="19"/>
  <c r="I8" i="19" s="1"/>
  <c r="H12" i="19"/>
  <c r="I12" i="19" s="1"/>
  <c r="H16" i="19"/>
  <c r="I16" i="19" s="1"/>
  <c r="H20" i="19"/>
  <c r="I20" i="19" s="1"/>
  <c r="H24" i="19"/>
  <c r="I24" i="19" s="1"/>
  <c r="H3" i="19"/>
  <c r="I3" i="19" s="1"/>
  <c r="H15" i="19"/>
  <c r="I15" i="19" s="1"/>
  <c r="H5" i="19"/>
  <c r="I5" i="19" s="1"/>
  <c r="H9" i="19"/>
  <c r="I9" i="19" s="1"/>
  <c r="H13" i="19"/>
  <c r="I13" i="19" s="1"/>
  <c r="H17" i="19"/>
  <c r="I17" i="19" s="1"/>
  <c r="H21" i="19"/>
  <c r="I21" i="19" s="1"/>
  <c r="H25" i="19"/>
  <c r="I25" i="19" s="1"/>
  <c r="H11" i="19"/>
  <c r="I11" i="19" s="1"/>
  <c r="H23" i="19"/>
  <c r="I23" i="19" s="1"/>
  <c r="H6" i="19"/>
  <c r="I6" i="19" s="1"/>
  <c r="H10" i="19"/>
  <c r="I10" i="19" s="1"/>
  <c r="H14" i="19"/>
  <c r="I14" i="19" s="1"/>
  <c r="H18" i="19"/>
  <c r="I18" i="19" s="1"/>
  <c r="H22" i="19"/>
  <c r="I22" i="19" s="1"/>
  <c r="H26" i="19"/>
  <c r="I26" i="19" s="1"/>
  <c r="H2" i="19"/>
  <c r="H7" i="19"/>
  <c r="I7" i="19" s="1"/>
  <c r="H19" i="19"/>
  <c r="I19" i="19" s="1"/>
  <c r="D2" i="19"/>
  <c r="D23" i="19"/>
  <c r="E23" i="19" s="1"/>
  <c r="K26" i="19"/>
  <c r="L26" i="19" s="1"/>
  <c r="K22" i="19"/>
  <c r="L22" i="19" s="1"/>
  <c r="K18" i="19"/>
  <c r="L18" i="19" s="1"/>
  <c r="K14" i="19"/>
  <c r="L14" i="19" s="1"/>
  <c r="K10" i="19"/>
  <c r="L10" i="19" s="1"/>
  <c r="K6" i="19"/>
  <c r="L6" i="19" s="1"/>
  <c r="S26" i="19"/>
  <c r="T26" i="19" s="1"/>
  <c r="S22" i="19"/>
  <c r="T22" i="19" s="1"/>
  <c r="S18" i="19"/>
  <c r="T18" i="19" s="1"/>
  <c r="S14" i="19"/>
  <c r="T14" i="19" s="1"/>
  <c r="S10" i="19"/>
  <c r="T10" i="19" s="1"/>
  <c r="S6" i="19"/>
  <c r="T6" i="19" s="1"/>
  <c r="K2" i="19"/>
  <c r="K25" i="19"/>
  <c r="L25" i="19" s="1"/>
  <c r="K21" i="19"/>
  <c r="L21" i="19" s="1"/>
  <c r="K17" i="19"/>
  <c r="L17" i="19" s="1"/>
  <c r="K13" i="19"/>
  <c r="L13" i="19" s="1"/>
  <c r="K9" i="19"/>
  <c r="L9" i="19" s="1"/>
  <c r="K5" i="19"/>
  <c r="L5" i="19" s="1"/>
  <c r="S25" i="19"/>
  <c r="T25" i="19" s="1"/>
  <c r="S21" i="19"/>
  <c r="T21" i="19" s="1"/>
  <c r="S17" i="19"/>
  <c r="T17" i="19" s="1"/>
  <c r="S13" i="19"/>
  <c r="T13" i="19" s="1"/>
  <c r="S9" i="19"/>
  <c r="T9" i="19" s="1"/>
  <c r="S5" i="19"/>
  <c r="T5" i="19" s="1"/>
  <c r="K24" i="19"/>
  <c r="L24" i="19" s="1"/>
  <c r="K20" i="19"/>
  <c r="L20" i="19" s="1"/>
  <c r="K16" i="19"/>
  <c r="L16" i="19" s="1"/>
  <c r="K12" i="19"/>
  <c r="L12" i="19" s="1"/>
  <c r="K8" i="19"/>
  <c r="L8" i="19" s="1"/>
  <c r="S24" i="19"/>
  <c r="T24" i="19" s="1"/>
  <c r="S20" i="19"/>
  <c r="T20" i="19" s="1"/>
  <c r="S16" i="19"/>
  <c r="T16" i="19" s="1"/>
  <c r="S12" i="19"/>
  <c r="T12" i="19" s="1"/>
  <c r="S8" i="19"/>
  <c r="T8" i="19" s="1"/>
  <c r="S29" i="19" l="1"/>
  <c r="P29" i="19"/>
  <c r="Q2" i="19"/>
  <c r="P30" i="19"/>
  <c r="H29" i="19"/>
  <c r="H30" i="19"/>
  <c r="I2" i="19"/>
  <c r="K30" i="19"/>
  <c r="L2" i="19"/>
  <c r="K29" i="19"/>
  <c r="S30" i="19"/>
  <c r="E2" i="19"/>
  <c r="D30" i="19"/>
  <c r="D29" i="19"/>
  <c r="H5" i="18" l="1"/>
  <c r="H4" i="18"/>
  <c r="H2" i="18"/>
  <c r="H3" i="18" s="1"/>
  <c r="H1" i="18"/>
  <c r="E18" i="17"/>
  <c r="J25" i="15"/>
  <c r="J24" i="15"/>
  <c r="G25" i="15"/>
  <c r="G24" i="15"/>
  <c r="J21" i="15"/>
  <c r="J20" i="15"/>
  <c r="J19" i="15"/>
  <c r="J23" i="15"/>
  <c r="G23" i="15"/>
  <c r="G22" i="15"/>
  <c r="G21" i="15"/>
  <c r="G20" i="15"/>
  <c r="G19" i="15"/>
  <c r="G11" i="14"/>
  <c r="H3" i="14"/>
  <c r="H2" i="14"/>
  <c r="D3" i="14"/>
  <c r="D4" i="14"/>
  <c r="D5" i="14"/>
  <c r="D6" i="14"/>
  <c r="D2" i="14"/>
  <c r="H1" i="14"/>
  <c r="C3" i="14"/>
  <c r="C4" i="14"/>
  <c r="C5" i="14"/>
  <c r="C6" i="14"/>
  <c r="C2" i="14"/>
  <c r="U17" i="13"/>
  <c r="B21" i="13"/>
  <c r="B22" i="13"/>
  <c r="E3" i="13"/>
  <c r="E4" i="13"/>
  <c r="E5" i="13"/>
  <c r="E6" i="13"/>
  <c r="E7" i="13"/>
  <c r="E8" i="13"/>
  <c r="E2" i="13"/>
  <c r="C9" i="13"/>
  <c r="B19" i="13" s="1"/>
  <c r="D102" i="10"/>
  <c r="E102" i="10" s="1"/>
  <c r="C102" i="10"/>
  <c r="B102" i="10"/>
  <c r="D101" i="10"/>
  <c r="E101" i="10" s="1"/>
  <c r="C101" i="10"/>
  <c r="B101" i="10"/>
  <c r="D100" i="10"/>
  <c r="E100" i="10" s="1"/>
  <c r="C100" i="10"/>
  <c r="B100" i="10"/>
  <c r="D99" i="10"/>
  <c r="E99" i="10" s="1"/>
  <c r="C99" i="10"/>
  <c r="B99" i="10"/>
  <c r="D98" i="10"/>
  <c r="E98" i="10" s="1"/>
  <c r="C98" i="10"/>
  <c r="B98" i="10"/>
  <c r="D97" i="10"/>
  <c r="E97" i="10" s="1"/>
  <c r="C97" i="10"/>
  <c r="B97" i="10"/>
  <c r="D96" i="10"/>
  <c r="E96" i="10" s="1"/>
  <c r="C96" i="10"/>
  <c r="B96" i="10"/>
  <c r="D95" i="10"/>
  <c r="E95" i="10" s="1"/>
  <c r="C95" i="10"/>
  <c r="B95" i="10"/>
  <c r="D94" i="10"/>
  <c r="E94" i="10" s="1"/>
  <c r="C94" i="10"/>
  <c r="B94" i="10"/>
  <c r="D93" i="10"/>
  <c r="E93" i="10" s="1"/>
  <c r="C93" i="10"/>
  <c r="B93" i="10"/>
  <c r="D92" i="10"/>
  <c r="E92" i="10" s="1"/>
  <c r="C92" i="10"/>
  <c r="B92" i="10"/>
  <c r="D91" i="10"/>
  <c r="E91" i="10" s="1"/>
  <c r="C91" i="10"/>
  <c r="B91" i="10"/>
  <c r="D90" i="10"/>
  <c r="E90" i="10" s="1"/>
  <c r="C90" i="10"/>
  <c r="B90" i="10"/>
  <c r="D89" i="10"/>
  <c r="E89" i="10" s="1"/>
  <c r="C89" i="10"/>
  <c r="B89" i="10"/>
  <c r="D88" i="10"/>
  <c r="E88" i="10" s="1"/>
  <c r="C88" i="10"/>
  <c r="B88" i="10"/>
  <c r="D87" i="10"/>
  <c r="E87" i="10" s="1"/>
  <c r="C87" i="10"/>
  <c r="B87" i="10"/>
  <c r="D86" i="10"/>
  <c r="E86" i="10" s="1"/>
  <c r="C86" i="10"/>
  <c r="B86" i="10"/>
  <c r="D85" i="10"/>
  <c r="E85" i="10" s="1"/>
  <c r="C85" i="10"/>
  <c r="B85" i="10"/>
  <c r="D84" i="10"/>
  <c r="E84" i="10" s="1"/>
  <c r="C84" i="10"/>
  <c r="B84" i="10"/>
  <c r="D83" i="10"/>
  <c r="E83" i="10" s="1"/>
  <c r="C83" i="10"/>
  <c r="B83" i="10"/>
  <c r="D82" i="10"/>
  <c r="E82" i="10" s="1"/>
  <c r="C82" i="10"/>
  <c r="B82" i="10"/>
  <c r="D81" i="10"/>
  <c r="E81" i="10" s="1"/>
  <c r="C81" i="10"/>
  <c r="B81" i="10"/>
  <c r="D80" i="10"/>
  <c r="E80" i="10" s="1"/>
  <c r="C80" i="10"/>
  <c r="B80" i="10"/>
  <c r="D79" i="10"/>
  <c r="E79" i="10" s="1"/>
  <c r="C79" i="10"/>
  <c r="B79" i="10"/>
  <c r="D78" i="10"/>
  <c r="E78" i="10" s="1"/>
  <c r="C78" i="10"/>
  <c r="B78" i="10"/>
  <c r="D77" i="10"/>
  <c r="E77" i="10" s="1"/>
  <c r="C77" i="10"/>
  <c r="B77" i="10"/>
  <c r="D76" i="10"/>
  <c r="E76" i="10" s="1"/>
  <c r="C76" i="10"/>
  <c r="B76" i="10"/>
  <c r="D75" i="10"/>
  <c r="E75" i="10" s="1"/>
  <c r="C75" i="10"/>
  <c r="B75" i="10"/>
  <c r="D74" i="10"/>
  <c r="E74" i="10" s="1"/>
  <c r="C74" i="10"/>
  <c r="B74" i="10"/>
  <c r="D73" i="10"/>
  <c r="E73" i="10" s="1"/>
  <c r="C73" i="10"/>
  <c r="B73" i="10"/>
  <c r="D72" i="10"/>
  <c r="E72" i="10" s="1"/>
  <c r="C72" i="10"/>
  <c r="B72" i="10"/>
  <c r="D71" i="10"/>
  <c r="E71" i="10" s="1"/>
  <c r="C71" i="10"/>
  <c r="B71" i="10"/>
  <c r="D70" i="10"/>
  <c r="E70" i="10" s="1"/>
  <c r="C70" i="10"/>
  <c r="B70" i="10"/>
  <c r="D69" i="10"/>
  <c r="E69" i="10" s="1"/>
  <c r="C69" i="10"/>
  <c r="B69" i="10"/>
  <c r="D68" i="10"/>
  <c r="E68" i="10" s="1"/>
  <c r="C68" i="10"/>
  <c r="B68" i="10"/>
  <c r="D67" i="10"/>
  <c r="E67" i="10" s="1"/>
  <c r="C67" i="10"/>
  <c r="B67" i="10"/>
  <c r="D66" i="10"/>
  <c r="E66" i="10" s="1"/>
  <c r="C66" i="10"/>
  <c r="B66" i="10"/>
  <c r="D65" i="10"/>
  <c r="E65" i="10" s="1"/>
  <c r="C65" i="10"/>
  <c r="B65" i="10"/>
  <c r="D64" i="10"/>
  <c r="E64" i="10" s="1"/>
  <c r="C64" i="10"/>
  <c r="B64" i="10"/>
  <c r="D63" i="10"/>
  <c r="E63" i="10" s="1"/>
  <c r="C63" i="10"/>
  <c r="B63" i="10"/>
  <c r="D62" i="10"/>
  <c r="E62" i="10" s="1"/>
  <c r="C62" i="10"/>
  <c r="B62" i="10"/>
  <c r="D61" i="10"/>
  <c r="E61" i="10" s="1"/>
  <c r="C61" i="10"/>
  <c r="B61" i="10"/>
  <c r="D60" i="10"/>
  <c r="E60" i="10" s="1"/>
  <c r="C60" i="10"/>
  <c r="B60" i="10"/>
  <c r="D59" i="10"/>
  <c r="E59" i="10" s="1"/>
  <c r="C59" i="10"/>
  <c r="B59" i="10"/>
  <c r="D58" i="10"/>
  <c r="E58" i="10" s="1"/>
  <c r="C58" i="10"/>
  <c r="B58" i="10"/>
  <c r="D57" i="10"/>
  <c r="E57" i="10" s="1"/>
  <c r="C57" i="10"/>
  <c r="B57" i="10"/>
  <c r="D56" i="10"/>
  <c r="E56" i="10" s="1"/>
  <c r="C56" i="10"/>
  <c r="B56" i="10"/>
  <c r="D55" i="10"/>
  <c r="E55" i="10" s="1"/>
  <c r="C55" i="10"/>
  <c r="B55" i="10"/>
  <c r="D54" i="10"/>
  <c r="E54" i="10" s="1"/>
  <c r="C54" i="10"/>
  <c r="B54" i="10"/>
  <c r="D53" i="10"/>
  <c r="E53" i="10" s="1"/>
  <c r="C53" i="10"/>
  <c r="B53" i="10"/>
  <c r="D52" i="10"/>
  <c r="E52" i="10" s="1"/>
  <c r="C52" i="10"/>
  <c r="B52" i="10"/>
  <c r="D51" i="10"/>
  <c r="E51" i="10" s="1"/>
  <c r="C51" i="10"/>
  <c r="B51" i="10"/>
  <c r="D50" i="10"/>
  <c r="E50" i="10" s="1"/>
  <c r="C50" i="10"/>
  <c r="B50" i="10"/>
  <c r="D49" i="10"/>
  <c r="E49" i="10" s="1"/>
  <c r="C49" i="10"/>
  <c r="B49" i="10"/>
  <c r="D48" i="10"/>
  <c r="E48" i="10" s="1"/>
  <c r="C48" i="10"/>
  <c r="B48" i="10"/>
  <c r="D47" i="10"/>
  <c r="E47" i="10" s="1"/>
  <c r="C47" i="10"/>
  <c r="B47" i="10"/>
  <c r="D46" i="10"/>
  <c r="E46" i="10" s="1"/>
  <c r="C46" i="10"/>
  <c r="B46" i="10"/>
  <c r="D45" i="10"/>
  <c r="E45" i="10" s="1"/>
  <c r="C45" i="10"/>
  <c r="B45" i="10"/>
  <c r="D44" i="10"/>
  <c r="E44" i="10" s="1"/>
  <c r="C44" i="10"/>
  <c r="B44" i="10"/>
  <c r="D43" i="10"/>
  <c r="E43" i="10" s="1"/>
  <c r="C43" i="10"/>
  <c r="B43" i="10"/>
  <c r="D42" i="10"/>
  <c r="E42" i="10" s="1"/>
  <c r="C42" i="10"/>
  <c r="B42" i="10"/>
  <c r="D41" i="10"/>
  <c r="E41" i="10" s="1"/>
  <c r="C41" i="10"/>
  <c r="B41" i="10"/>
  <c r="D40" i="10"/>
  <c r="E40" i="10" s="1"/>
  <c r="C40" i="10"/>
  <c r="B40" i="10"/>
  <c r="D39" i="10"/>
  <c r="E39" i="10" s="1"/>
  <c r="C39" i="10"/>
  <c r="B39" i="10"/>
  <c r="D38" i="10"/>
  <c r="E38" i="10" s="1"/>
  <c r="C38" i="10"/>
  <c r="B38" i="10"/>
  <c r="D37" i="10"/>
  <c r="E37" i="10" s="1"/>
  <c r="C37" i="10"/>
  <c r="B37" i="10"/>
  <c r="D36" i="10"/>
  <c r="E36" i="10" s="1"/>
  <c r="C36" i="10"/>
  <c r="B36" i="10"/>
  <c r="D35" i="10"/>
  <c r="E35" i="10" s="1"/>
  <c r="C35" i="10"/>
  <c r="B35" i="10"/>
  <c r="D34" i="10"/>
  <c r="E34" i="10" s="1"/>
  <c r="C34" i="10"/>
  <c r="B34" i="10"/>
  <c r="D33" i="10"/>
  <c r="E33" i="10" s="1"/>
  <c r="C33" i="10"/>
  <c r="B33" i="10"/>
  <c r="D32" i="10"/>
  <c r="E32" i="10" s="1"/>
  <c r="C32" i="10"/>
  <c r="B32" i="10"/>
  <c r="D31" i="10"/>
  <c r="E31" i="10" s="1"/>
  <c r="C31" i="10"/>
  <c r="B31" i="10"/>
  <c r="D30" i="10"/>
  <c r="E30" i="10" s="1"/>
  <c r="C30" i="10"/>
  <c r="B30" i="10"/>
  <c r="D29" i="10"/>
  <c r="E29" i="10" s="1"/>
  <c r="C29" i="10"/>
  <c r="B29" i="10"/>
  <c r="D28" i="10"/>
  <c r="E28" i="10" s="1"/>
  <c r="C28" i="10"/>
  <c r="B28" i="10"/>
  <c r="D27" i="10"/>
  <c r="E27" i="10" s="1"/>
  <c r="C27" i="10"/>
  <c r="B27" i="10"/>
  <c r="D26" i="10"/>
  <c r="E26" i="10" s="1"/>
  <c r="C26" i="10"/>
  <c r="B26" i="10"/>
  <c r="D25" i="10"/>
  <c r="E25" i="10" s="1"/>
  <c r="C25" i="10"/>
  <c r="B25" i="10"/>
  <c r="D24" i="10"/>
  <c r="E24" i="10" s="1"/>
  <c r="C24" i="10"/>
  <c r="B24" i="10"/>
  <c r="D23" i="10"/>
  <c r="E23" i="10" s="1"/>
  <c r="C23" i="10"/>
  <c r="B23" i="10"/>
  <c r="D22" i="10"/>
  <c r="E22" i="10" s="1"/>
  <c r="C22" i="10"/>
  <c r="B22" i="10"/>
  <c r="D21" i="10"/>
  <c r="E21" i="10" s="1"/>
  <c r="C21" i="10"/>
  <c r="B21" i="10"/>
  <c r="D20" i="10"/>
  <c r="E20" i="10" s="1"/>
  <c r="C20" i="10"/>
  <c r="B20" i="10"/>
  <c r="D19" i="10"/>
  <c r="E19" i="10" s="1"/>
  <c r="C19" i="10"/>
  <c r="B19" i="10"/>
  <c r="D18" i="10"/>
  <c r="E18" i="10" s="1"/>
  <c r="C18" i="10"/>
  <c r="B18" i="10"/>
  <c r="E17" i="10"/>
  <c r="D17" i="10"/>
  <c r="C17" i="10"/>
  <c r="B17" i="10"/>
  <c r="E16" i="10"/>
  <c r="D16" i="10"/>
  <c r="C16" i="10"/>
  <c r="B16" i="10"/>
  <c r="E15" i="10"/>
  <c r="D15" i="10"/>
  <c r="C15" i="10"/>
  <c r="B15" i="10"/>
  <c r="E14" i="10"/>
  <c r="D14" i="10"/>
  <c r="C14" i="10"/>
  <c r="B14" i="10"/>
  <c r="E13" i="10"/>
  <c r="D13" i="10"/>
  <c r="C13" i="10"/>
  <c r="B13" i="10"/>
  <c r="E12" i="10"/>
  <c r="D12" i="10"/>
  <c r="C12" i="10"/>
  <c r="B12" i="10"/>
  <c r="E11" i="10"/>
  <c r="D11" i="10"/>
  <c r="C11" i="10"/>
  <c r="B11" i="10"/>
  <c r="E10" i="10"/>
  <c r="D10" i="10"/>
  <c r="C10" i="10"/>
  <c r="B10" i="10"/>
  <c r="E9" i="10"/>
  <c r="D9" i="10"/>
  <c r="C9" i="10"/>
  <c r="B9" i="10"/>
  <c r="E8" i="10"/>
  <c r="D8" i="10"/>
  <c r="C8" i="10"/>
  <c r="B8" i="10"/>
  <c r="E7" i="10"/>
  <c r="D7" i="10"/>
  <c r="C7" i="10"/>
  <c r="B7" i="10"/>
  <c r="E6" i="10"/>
  <c r="D6" i="10"/>
  <c r="C6" i="10"/>
  <c r="B6" i="10"/>
  <c r="E5" i="10"/>
  <c r="D5" i="10"/>
  <c r="C5" i="10"/>
  <c r="B5" i="10"/>
  <c r="E4" i="10"/>
  <c r="D4" i="10"/>
  <c r="C4" i="10"/>
  <c r="B4" i="10"/>
  <c r="E3" i="10"/>
  <c r="D3" i="10"/>
  <c r="C3" i="10"/>
  <c r="B3" i="10"/>
  <c r="H9" i="9"/>
  <c r="H4" i="9"/>
  <c r="H3" i="9"/>
  <c r="E3" i="9"/>
  <c r="E4" i="9"/>
  <c r="E5" i="9"/>
  <c r="E6" i="9"/>
  <c r="E2" i="9"/>
  <c r="H2" i="9"/>
  <c r="H1" i="9"/>
  <c r="B7" i="9"/>
  <c r="D3" i="9"/>
  <c r="D4" i="9"/>
  <c r="D5" i="9"/>
  <c r="D6" i="9"/>
  <c r="D2" i="9"/>
  <c r="G6" i="8"/>
  <c r="J4" i="8" s="1"/>
  <c r="G5" i="8"/>
  <c r="J6" i="8" s="1"/>
  <c r="G4" i="8"/>
  <c r="J2" i="8" s="1"/>
  <c r="G3" i="8"/>
  <c r="J3" i="8" s="1"/>
  <c r="G2" i="8"/>
  <c r="J5" i="8" s="1"/>
  <c r="C7" i="8"/>
  <c r="B7" i="8"/>
  <c r="G18" i="7"/>
  <c r="G17" i="7"/>
  <c r="G16" i="7"/>
  <c r="G15" i="7"/>
  <c r="H14" i="7"/>
  <c r="L11" i="7"/>
  <c r="J11" i="7"/>
  <c r="K8" i="7"/>
  <c r="L10" i="7"/>
  <c r="K9" i="7"/>
  <c r="J10" i="7"/>
  <c r="F3" i="6"/>
  <c r="C8" i="6"/>
  <c r="C3" i="6"/>
  <c r="C4" i="6"/>
  <c r="C5" i="6"/>
  <c r="C6" i="6"/>
  <c r="C7" i="6"/>
  <c r="C2" i="6"/>
  <c r="B9" i="6"/>
  <c r="K1" i="5"/>
  <c r="U23" i="5" a="1"/>
  <c r="U23" i="5" s="1"/>
  <c r="U30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21" i="5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T19" i="5"/>
  <c r="T18" i="5"/>
  <c r="T17" i="5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35" i="4"/>
  <c r="L55" i="4" a="1"/>
  <c r="L55" i="4" s="1"/>
  <c r="K56" i="4"/>
  <c r="K57" i="4"/>
  <c r="K58" i="4"/>
  <c r="K59" i="4"/>
  <c r="K60" i="4"/>
  <c r="K61" i="4"/>
  <c r="K62" i="4"/>
  <c r="K63" i="4"/>
  <c r="K64" i="4"/>
  <c r="K55" i="4"/>
  <c r="K50" i="4"/>
  <c r="K51" i="4" s="1"/>
  <c r="K52" i="4" s="1"/>
  <c r="S50" i="4"/>
  <c r="S51" i="4" s="1"/>
  <c r="S52" i="4" s="1"/>
  <c r="S59" i="4" s="1"/>
  <c r="O50" i="4"/>
  <c r="O51" i="4" s="1"/>
  <c r="O52" i="4" s="1"/>
  <c r="O56" i="4" s="1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24" i="4"/>
  <c r="F25" i="4" s="1"/>
  <c r="F26" i="4" s="1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C6" i="18" l="1"/>
  <c r="C10" i="18"/>
  <c r="C9" i="18"/>
  <c r="C3" i="18"/>
  <c r="C7" i="18"/>
  <c r="C11" i="18"/>
  <c r="C4" i="18"/>
  <c r="C8" i="18"/>
  <c r="C2" i="18"/>
  <c r="C5" i="18"/>
  <c r="J22" i="15"/>
  <c r="B18" i="13"/>
  <c r="B20" i="13"/>
  <c r="B23" i="13"/>
  <c r="B17" i="13"/>
  <c r="R1" i="13"/>
  <c r="F7" i="13" s="1"/>
  <c r="F6" i="13"/>
  <c r="F8" i="13"/>
  <c r="F3" i="13"/>
  <c r="F4" i="13"/>
  <c r="F5" i="13"/>
  <c r="F2" i="13"/>
  <c r="G7" i="8"/>
  <c r="G8" i="8"/>
  <c r="U26" i="5"/>
  <c r="U33" i="5"/>
  <c r="U25" i="5"/>
  <c r="U32" i="5"/>
  <c r="U28" i="5"/>
  <c r="U24" i="5"/>
  <c r="U29" i="5"/>
  <c r="U31" i="5"/>
  <c r="U27" i="5"/>
  <c r="S58" i="4"/>
  <c r="S55" i="4"/>
  <c r="S61" i="4"/>
  <c r="S57" i="4"/>
  <c r="S62" i="4"/>
  <c r="S64" i="4"/>
  <c r="S60" i="4"/>
  <c r="S56" i="4"/>
  <c r="S63" i="4"/>
  <c r="O63" i="4"/>
  <c r="O59" i="4"/>
  <c r="O62" i="4"/>
  <c r="O58" i="4"/>
  <c r="O55" i="4"/>
  <c r="O61" i="4"/>
  <c r="O57" i="4"/>
  <c r="O64" i="4"/>
  <c r="O60" i="4"/>
  <c r="L62" i="4"/>
  <c r="L58" i="4"/>
  <c r="L57" i="4"/>
  <c r="L64" i="4"/>
  <c r="L60" i="4"/>
  <c r="L56" i="4"/>
  <c r="L61" i="4"/>
  <c r="L63" i="4"/>
  <c r="L59" i="4"/>
  <c r="I12" i="4"/>
  <c r="I16" i="4"/>
  <c r="I18" i="4"/>
  <c r="I11" i="4"/>
  <c r="I9" i="4"/>
  <c r="I13" i="4"/>
  <c r="I17" i="4"/>
  <c r="I10" i="4"/>
  <c r="I14" i="4"/>
  <c r="I15" i="4"/>
  <c r="I16" i="3"/>
  <c r="H16" i="3"/>
  <c r="G17" i="3"/>
  <c r="G11" i="3"/>
  <c r="G12" i="3"/>
  <c r="G13" i="3"/>
  <c r="G14" i="3"/>
  <c r="G15" i="3"/>
  <c r="G16" i="3"/>
  <c r="G10" i="3"/>
  <c r="F17" i="3"/>
  <c r="F10" i="3" a="1"/>
  <c r="F10" i="3" s="1"/>
  <c r="E11" i="3"/>
  <c r="E12" i="3"/>
  <c r="E13" i="3"/>
  <c r="E14" i="3"/>
  <c r="E15" i="3"/>
  <c r="E16" i="3"/>
  <c r="E10" i="3"/>
  <c r="B16" i="3"/>
  <c r="B12" i="3"/>
  <c r="B13" i="3" s="1"/>
  <c r="B14" i="3" s="1"/>
  <c r="B11" i="3"/>
  <c r="B10" i="3"/>
  <c r="B9" i="3"/>
  <c r="D3" i="2"/>
  <c r="D2" i="2"/>
  <c r="D1" i="2"/>
  <c r="F4" i="1"/>
  <c r="F3" i="1"/>
  <c r="F2" i="1"/>
  <c r="F1" i="1"/>
  <c r="C3" i="1"/>
  <c r="C4" i="1"/>
  <c r="C5" i="1"/>
  <c r="C6" i="1"/>
  <c r="C2" i="1"/>
  <c r="R2" i="13" l="1"/>
  <c r="R3" i="13" s="1"/>
  <c r="T55" i="4" a="1"/>
  <c r="P55" i="4" a="1"/>
  <c r="J9" i="4" a="1"/>
  <c r="F13" i="3"/>
  <c r="F16" i="3"/>
  <c r="F12" i="3"/>
  <c r="F15" i="3"/>
  <c r="F11" i="3"/>
  <c r="F14" i="3"/>
  <c r="B15" i="3"/>
  <c r="T55" i="4" l="1"/>
  <c r="T64" i="4"/>
  <c r="T57" i="4"/>
  <c r="T60" i="4"/>
  <c r="T63" i="4"/>
  <c r="T58" i="4"/>
  <c r="T56" i="4"/>
  <c r="T59" i="4"/>
  <c r="T61" i="4"/>
  <c r="T62" i="4"/>
  <c r="P55" i="4"/>
  <c r="P64" i="4"/>
  <c r="P61" i="4"/>
  <c r="P60" i="4"/>
  <c r="P63" i="4"/>
  <c r="P58" i="4"/>
  <c r="P56" i="4"/>
  <c r="P59" i="4"/>
  <c r="P57" i="4"/>
  <c r="P62" i="4"/>
  <c r="J9" i="4"/>
  <c r="J12" i="4"/>
  <c r="J10" i="4"/>
  <c r="J11" i="4"/>
  <c r="J15" i="4"/>
  <c r="J18" i="4"/>
  <c r="J17" i="4"/>
  <c r="J16" i="4"/>
  <c r="J14" i="4"/>
  <c r="J13" i="4"/>
  <c r="H10" i="3"/>
  <c r="H11" i="3" s="1"/>
  <c r="H12" i="3" s="1"/>
  <c r="H13" i="3" s="1"/>
  <c r="H14" i="3" s="1"/>
  <c r="H15" i="3" s="1"/>
  <c r="I10" i="3" l="1"/>
  <c r="I11" i="3"/>
  <c r="I12" i="3" s="1"/>
  <c r="I13" i="3" s="1"/>
  <c r="I14" i="3" s="1"/>
  <c r="I15" i="3" s="1"/>
</calcChain>
</file>

<file path=xl/sharedStrings.xml><?xml version="1.0" encoding="utf-8"?>
<sst xmlns="http://schemas.openxmlformats.org/spreadsheetml/2006/main" count="663" uniqueCount="225">
  <si>
    <t>Erros</t>
  </si>
  <si>
    <t>Frequencia</t>
  </si>
  <si>
    <t>Média</t>
  </si>
  <si>
    <t>Mediana</t>
  </si>
  <si>
    <t>desv_pad</t>
  </si>
  <si>
    <t>Valor Esperado</t>
  </si>
  <si>
    <t>a)</t>
  </si>
  <si>
    <t>b)</t>
  </si>
  <si>
    <t>c)</t>
  </si>
  <si>
    <t>e)</t>
  </si>
  <si>
    <t>(a) 2</t>
  </si>
  <si>
    <t>(b) 2</t>
  </si>
  <si>
    <t>(c)⎯ x = 2,11, supondo-se o valor 6 para “mais que 5”.</t>
  </si>
  <si>
    <t>Desvio Padrão</t>
  </si>
  <si>
    <t>Salário (x Sal. Min)</t>
  </si>
  <si>
    <t>Mínimo</t>
  </si>
  <si>
    <t>Classes</t>
  </si>
  <si>
    <t>Corte</t>
  </si>
  <si>
    <t>fa</t>
  </si>
  <si>
    <t>fr</t>
  </si>
  <si>
    <t>faacm</t>
  </si>
  <si>
    <t>fracm</t>
  </si>
  <si>
    <t>Máximo</t>
  </si>
  <si>
    <t>Tamanho (n)</t>
  </si>
  <si>
    <t>Est. Classes</t>
  </si>
  <si>
    <t>Amp. Classe</t>
  </si>
  <si>
    <t>Desv. Pad</t>
  </si>
  <si>
    <t>Total</t>
  </si>
  <si>
    <t>A média é uma medida muito sensível na presença de valores extremos por isso, qualquer banco em que exista um valor muito distinto dos demais a mediana é uma estatística mais apropriada que a média.</t>
  </si>
  <si>
    <t>A)</t>
  </si>
  <si>
    <t>B)</t>
  </si>
  <si>
    <t>X</t>
  </si>
  <si>
    <t>Z</t>
  </si>
  <si>
    <t>Erro padrão</t>
  </si>
  <si>
    <t>Modo</t>
  </si>
  <si>
    <t>Desvio padrão</t>
  </si>
  <si>
    <t>Variância da amostra</t>
  </si>
  <si>
    <t>Curtose</t>
  </si>
  <si>
    <t>Assimetria</t>
  </si>
  <si>
    <t>Intervalo</t>
  </si>
  <si>
    <t>Soma</t>
  </si>
  <si>
    <t>Contagem</t>
  </si>
  <si>
    <t>Amplitude de Classes</t>
  </si>
  <si>
    <t>Fa</t>
  </si>
  <si>
    <t>C)</t>
  </si>
  <si>
    <t>Y</t>
  </si>
  <si>
    <t>Nem a média e nem a mediana seriam boas medidas, nesse caso temos duas modas e portanto esta seria a melhor medida de posição! A média e a mediana apresentariam valores entre os dois picos!</t>
  </si>
  <si>
    <t>Coluna1</t>
  </si>
  <si>
    <t>Valores X</t>
  </si>
  <si>
    <t>Valores Y</t>
  </si>
  <si>
    <t>Todos os dados</t>
  </si>
  <si>
    <t>Est. Classe</t>
  </si>
  <si>
    <t>Amp. Classes</t>
  </si>
  <si>
    <t>Nº de Filhos</t>
  </si>
  <si>
    <t>Freq. Famílias</t>
  </si>
  <si>
    <t>mais que 5</t>
  </si>
  <si>
    <t>Moda</t>
  </si>
  <si>
    <t>(X_(50)+X_(51))/2</t>
  </si>
  <si>
    <t>(2+2)/2</t>
  </si>
  <si>
    <t>Número que mais se repete</t>
  </si>
  <si>
    <t>Para encontrar a média temos que fazer uma suposição para as famílias que possuem mais de 5 filhos. Nesse caso supomos que essas famílias possuem 6 filhos. Logo essa é uma estimativa da verdadeira média.</t>
  </si>
  <si>
    <t>Md</t>
  </si>
  <si>
    <t>Quartis</t>
  </si>
  <si>
    <t>Extremos</t>
  </si>
  <si>
    <t>n</t>
  </si>
  <si>
    <t>Distancia Interquartil</t>
  </si>
  <si>
    <t>X_(n)-q3</t>
  </si>
  <si>
    <t>q1-_X_(1)</t>
  </si>
  <si>
    <t>q3-q2</t>
  </si>
  <si>
    <t>q2-q1</t>
  </si>
  <si>
    <t>Distribuição assimétrica, pois q2-q1 é bem diferente de q3-q2. Logo, a distribuição não é normal!</t>
  </si>
  <si>
    <t>Classe de salários</t>
  </si>
  <si>
    <t>Freqüência</t>
  </si>
  <si>
    <t>Porcentagem</t>
  </si>
  <si>
    <t xml:space="preserve">4,00|- 08,00 </t>
  </si>
  <si>
    <t xml:space="preserve">8,00 |-12,00 </t>
  </si>
  <si>
    <t>12,00 |-16,00</t>
  </si>
  <si>
    <t xml:space="preserve">16,00|-20,00 </t>
  </si>
  <si>
    <t xml:space="preserve">20,00|-24,00 </t>
  </si>
  <si>
    <t>Q1</t>
  </si>
  <si>
    <t>Q3</t>
  </si>
  <si>
    <t>LI</t>
  </si>
  <si>
    <t>LS</t>
  </si>
  <si>
    <t>Quartil 1</t>
  </si>
  <si>
    <t>Extremo 2</t>
  </si>
  <si>
    <t>Extremo 1</t>
  </si>
  <si>
    <t>Quartil 3</t>
  </si>
  <si>
    <t>Anos de casamento</t>
  </si>
  <si>
    <t>No de divórcios</t>
  </si>
  <si>
    <t>0|-6</t>
  </si>
  <si>
    <t>6|-12</t>
  </si>
  <si>
    <t>12|-18</t>
  </si>
  <si>
    <t>18|-24</t>
  </si>
  <si>
    <t>24|-30</t>
  </si>
  <si>
    <t>Variância</t>
  </si>
  <si>
    <t>Desv_Pad</t>
  </si>
  <si>
    <t>d1</t>
  </si>
  <si>
    <t>d9</t>
  </si>
  <si>
    <t>Int_interq</t>
  </si>
  <si>
    <t>PM</t>
  </si>
  <si>
    <t>PM*f</t>
  </si>
  <si>
    <t>((Xi-\bar{X})^2)*fai</t>
  </si>
  <si>
    <t>média = 6,9; var = 6,19;</t>
  </si>
  <si>
    <t>moda = 9; md = 7; q1 = 4,8.</t>
  </si>
  <si>
    <t>CV(A) = 20%; CV(B) = 30%</t>
  </si>
  <si>
    <t>2*X</t>
  </si>
  <si>
    <t>X+10</t>
  </si>
  <si>
    <t>X-\bar{X}</t>
  </si>
  <si>
    <t>(X-\bar{X})/DP(X)</t>
  </si>
  <si>
    <t>A</t>
  </si>
  <si>
    <t>B</t>
  </si>
  <si>
    <t>C</t>
  </si>
  <si>
    <t>D</t>
  </si>
  <si>
    <t>E</t>
  </si>
  <si>
    <t>Idade</t>
  </si>
  <si>
    <t>Como a variabilidade é muito alta, está seria a estatística mais importante para ser levada em consideração. Pois uma amostra deve ser representativa e portanto ter uma variância menor!</t>
  </si>
  <si>
    <t>Faixa Salarial</t>
  </si>
  <si>
    <t>Frequência</t>
  </si>
  <si>
    <t>0|-2</t>
  </si>
  <si>
    <t>2|-4</t>
  </si>
  <si>
    <t>4|-6</t>
  </si>
  <si>
    <t>6|-8</t>
  </si>
  <si>
    <t>8|-10</t>
  </si>
  <si>
    <t>10|-12</t>
  </si>
  <si>
    <t>12|-14</t>
  </si>
  <si>
    <t>Ponto Médio</t>
  </si>
  <si>
    <t>PM*fa</t>
  </si>
  <si>
    <t>Var</t>
  </si>
  <si>
    <t>fi*((Xi-\bar{X})^2)</t>
  </si>
  <si>
    <t>O bairro A é mais homogênio, pois possui menor desvio padrão! Assim os dados estão mais concentrados em torno da média!</t>
  </si>
  <si>
    <t>se</t>
  </si>
  <si>
    <t>0=&lt;x&lt;2</t>
  </si>
  <si>
    <t>x&lt;0</t>
  </si>
  <si>
    <t>2=&lt;x&lt;4</t>
  </si>
  <si>
    <t>4=&lt;x&lt;6</t>
  </si>
  <si>
    <t>6=&lt;x&lt;8</t>
  </si>
  <si>
    <t>8=&lt;x&lt;10</t>
  </si>
  <si>
    <t>10=&lt;x&lt;12</t>
  </si>
  <si>
    <t>12=&lt;x&lt;=14</t>
  </si>
  <si>
    <t>d)</t>
  </si>
  <si>
    <t>Os dez porcento mais ricos ganham entre 120 e 140 salários minimos</t>
  </si>
  <si>
    <t>SM</t>
  </si>
  <si>
    <t>Riqueza total é a soma de (PM*fa)*10 SM</t>
  </si>
  <si>
    <t>Fr</t>
  </si>
  <si>
    <t>PM*fr</t>
  </si>
  <si>
    <t>fr*((PM-\bar{x})^2)</t>
  </si>
  <si>
    <t>Desv_pad</t>
  </si>
  <si>
    <t>Med</t>
  </si>
  <si>
    <t>((Q1-4)/0,1)=((6-4)/0,25)</t>
  </si>
  <si>
    <t>Logo,</t>
  </si>
  <si>
    <t>((Md-6)/0,1)=((8-6)/0,2)</t>
  </si>
  <si>
    <t>Md=</t>
  </si>
  <si>
    <t>Q1=</t>
  </si>
  <si>
    <t>Corretora A</t>
  </si>
  <si>
    <t>Corretora B</t>
  </si>
  <si>
    <t>A corretora B apresentou menor variação do percentual de lucro.</t>
  </si>
  <si>
    <t>Q1A</t>
  </si>
  <si>
    <t>Q2A</t>
  </si>
  <si>
    <t>Q3A</t>
  </si>
  <si>
    <t>Q2A-Q1A</t>
  </si>
  <si>
    <t>Q3A-Q2A</t>
  </si>
  <si>
    <t>Q1B</t>
  </si>
  <si>
    <t>Q2B</t>
  </si>
  <si>
    <t>Q3B</t>
  </si>
  <si>
    <t>Q2B-Q1B</t>
  </si>
  <si>
    <t>Q3B-Q2B</t>
  </si>
  <si>
    <t>MAX-Q2A</t>
  </si>
  <si>
    <t>Q2A-MIN</t>
  </si>
  <si>
    <t>Aprox. Simétrica</t>
  </si>
  <si>
    <t>Assimétrica a Direita</t>
  </si>
  <si>
    <t>Observações</t>
  </si>
  <si>
    <t>Hipótese da diferença de média</t>
  </si>
  <si>
    <t>gl</t>
  </si>
  <si>
    <t>Stat t</t>
  </si>
  <si>
    <t>P(T&lt;=t) uni-caudal</t>
  </si>
  <si>
    <t>t crítico uni-caudal</t>
  </si>
  <si>
    <t>P(T&lt;=t) bi-caudal</t>
  </si>
  <si>
    <t>t crítico bi-caudal</t>
  </si>
  <si>
    <t>Teste-t: duas amostras presumindo variâncias equivalentes</t>
  </si>
  <si>
    <t>Variância agrupada</t>
  </si>
  <si>
    <t>&lt;</t>
  </si>
  <si>
    <t>Logo os desempenhos são semelhantes!</t>
  </si>
  <si>
    <t>T_cal</t>
  </si>
  <si>
    <t>A fórmula do livro está errada, o denominador deve ser multiplicado por S e não por S^2</t>
  </si>
  <si>
    <t>Cidade</t>
  </si>
  <si>
    <t>F</t>
  </si>
  <si>
    <t>G</t>
  </si>
  <si>
    <t>H</t>
  </si>
  <si>
    <t>I</t>
  </si>
  <si>
    <t>J</t>
  </si>
  <si>
    <t>Investimento</t>
  </si>
  <si>
    <t>Média Inicial</t>
  </si>
  <si>
    <t>\bar{X}-2*DP(X)</t>
  </si>
  <si>
    <t>\bar{X}+2*DP(X)</t>
  </si>
  <si>
    <t>Novo Conjunto</t>
  </si>
  <si>
    <t>Média Final</t>
  </si>
  <si>
    <t>O investimento básico seria a média final!</t>
  </si>
  <si>
    <t>Func</t>
  </si>
  <si>
    <t>Seção</t>
  </si>
  <si>
    <t>Administr</t>
  </si>
  <si>
    <t>Direito</t>
  </si>
  <si>
    <t>Redação</t>
  </si>
  <si>
    <t>Estatística</t>
  </si>
  <si>
    <t>Inglês</t>
  </si>
  <si>
    <t>Metodologia</t>
  </si>
  <si>
    <t>Política</t>
  </si>
  <si>
    <t>Economia</t>
  </si>
  <si>
    <t>P</t>
  </si>
  <si>
    <t>T</t>
  </si>
  <si>
    <t>V</t>
  </si>
  <si>
    <t>Média de Z</t>
  </si>
  <si>
    <t>DP(Z)</t>
  </si>
  <si>
    <t>Atipicos</t>
  </si>
  <si>
    <t>Notas padronizadas, maior z, melhor nota!</t>
  </si>
  <si>
    <t xml:space="preserve">b) </t>
  </si>
  <si>
    <t>Feito na tabela acima</t>
  </si>
  <si>
    <t>Política, maior escore!</t>
  </si>
  <si>
    <t>Região</t>
  </si>
  <si>
    <t>DP</t>
  </si>
  <si>
    <t>X_(1)</t>
  </si>
  <si>
    <t>X_(n)</t>
  </si>
  <si>
    <t>CV_A</t>
  </si>
  <si>
    <t>%</t>
  </si>
  <si>
    <t>CV_B</t>
  </si>
  <si>
    <t>Como a Região A possui menor CV a distribuição dos salários dos profissionais com nível universitário nessa região é mais homogênea do que na região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</si>
</sst>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NumberForma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/>
    <xf numFmtId="2" fontId="0" fillId="0" borderId="0" xfId="0" applyNumberFormat="1"/>
    <xf numFmtId="0" fontId="0" fillId="0" borderId="0" xfId="0" applyFill="1" applyBorder="1" applyAlignment="1"/>
    <xf numFmtId="0" fontId="0" fillId="0" borderId="10" xfId="0" applyFill="1" applyBorder="1" applyAlignment="1"/>
    <xf numFmtId="0" fontId="6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Continuous"/>
    </xf>
    <xf numFmtId="165" fontId="0" fillId="0" borderId="0" xfId="0" applyNumberFormat="1"/>
    <xf numFmtId="0" fontId="0" fillId="3" borderId="0" xfId="0" applyFill="1"/>
    <xf numFmtId="0" fontId="6" fillId="0" borderId="0" xfId="0" applyFont="1" applyFill="1" applyBorder="1" applyAlignment="1">
      <alignment horizontal="centerContinuous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0" fillId="3" borderId="0" xfId="0" applyFill="1" applyBorder="1" applyAlignment="1"/>
    <xf numFmtId="0" fontId="0" fillId="3" borderId="10" xfId="0" applyFill="1" applyBorder="1" applyAlignment="1"/>
    <xf numFmtId="0" fontId="0" fillId="2" borderId="0" xfId="0" applyFill="1" applyBorder="1" applyAlignment="1"/>
    <xf numFmtId="0" fontId="0" fillId="2" borderId="10" xfId="0" applyFill="1" applyBorder="1" applyAlignment="1"/>
    <xf numFmtId="0" fontId="0" fillId="4" borderId="0" xfId="0" applyFill="1" applyBorder="1" applyAlignment="1"/>
    <xf numFmtId="0" fontId="0" fillId="4" borderId="10" xfId="0" applyFill="1" applyBorder="1" applyAlignment="1"/>
    <xf numFmtId="0" fontId="0" fillId="5" borderId="0" xfId="0" applyFill="1" applyBorder="1" applyAlignment="1"/>
    <xf numFmtId="0" fontId="0" fillId="5" borderId="10" xfId="0" applyFill="1" applyBorder="1" applyAlignment="1"/>
    <xf numFmtId="0" fontId="0" fillId="6" borderId="0" xfId="0" applyFill="1" applyBorder="1" applyAlignment="1"/>
    <xf numFmtId="0" fontId="0" fillId="6" borderId="10" xfId="0" applyFill="1" applyBorder="1" applyAlignment="1"/>
    <xf numFmtId="9" fontId="0" fillId="0" borderId="0" xfId="1" applyFo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'ex4'!$I$9:$I$18</c:f>
              <c:numCache>
                <c:formatCode>0.00</c:formatCode>
                <c:ptCount val="10"/>
                <c:pt idx="0">
                  <c:v>62.417566924511149</c:v>
                </c:pt>
                <c:pt idx="1">
                  <c:v>64.479694578330964</c:v>
                </c:pt>
                <c:pt idx="2">
                  <c:v>66.541822232150793</c:v>
                </c:pt>
                <c:pt idx="3">
                  <c:v>68.603949885970607</c:v>
                </c:pt>
                <c:pt idx="4">
                  <c:v>70.666077539790422</c:v>
                </c:pt>
                <c:pt idx="5">
                  <c:v>72.72820519361025</c:v>
                </c:pt>
                <c:pt idx="6">
                  <c:v>74.790332847430065</c:v>
                </c:pt>
                <c:pt idx="7">
                  <c:v>76.85246050124988</c:v>
                </c:pt>
                <c:pt idx="8">
                  <c:v>78.914588155069708</c:v>
                </c:pt>
                <c:pt idx="9">
                  <c:v>80.976715808889523</c:v>
                </c:pt>
              </c:numCache>
            </c:numRef>
          </c:cat>
          <c:val>
            <c:numRef>
              <c:f>'ex4'!$J$9:$J$18</c:f>
              <c:numCache>
                <c:formatCode>General</c:formatCode>
                <c:ptCount val="10"/>
                <c:pt idx="0">
                  <c:v>1</c:v>
                </c:pt>
                <c:pt idx="1">
                  <c:v>3</c:v>
                </c:pt>
                <c:pt idx="2">
                  <c:v>7</c:v>
                </c:pt>
                <c:pt idx="3">
                  <c:v>17</c:v>
                </c:pt>
                <c:pt idx="4">
                  <c:v>31</c:v>
                </c:pt>
                <c:pt idx="5">
                  <c:v>27</c:v>
                </c:pt>
                <c:pt idx="6">
                  <c:v>9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363210968"/>
        <c:axId val="363211752"/>
      </c:barChart>
      <c:catAx>
        <c:axId val="363210968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11752"/>
        <c:crosses val="autoZero"/>
        <c:auto val="1"/>
        <c:lblAlgn val="ctr"/>
        <c:lblOffset val="100"/>
        <c:noMultiLvlLbl val="0"/>
      </c:catAx>
      <c:valAx>
        <c:axId val="363211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10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 de 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'ex4'!$K$55:$K$64</c:f>
              <c:numCache>
                <c:formatCode>0.00</c:formatCode>
                <c:ptCount val="10"/>
                <c:pt idx="0">
                  <c:v>66.44037921421436</c:v>
                </c:pt>
                <c:pt idx="1">
                  <c:v>67.577748824066163</c:v>
                </c:pt>
                <c:pt idx="2">
                  <c:v>68.715118433917965</c:v>
                </c:pt>
                <c:pt idx="3">
                  <c:v>69.852488043769768</c:v>
                </c:pt>
                <c:pt idx="4">
                  <c:v>70.989857653621584</c:v>
                </c:pt>
                <c:pt idx="5">
                  <c:v>72.127227263473387</c:v>
                </c:pt>
                <c:pt idx="6">
                  <c:v>73.264596873325189</c:v>
                </c:pt>
                <c:pt idx="7">
                  <c:v>74.401966483176992</c:v>
                </c:pt>
                <c:pt idx="8">
                  <c:v>75.539336093028794</c:v>
                </c:pt>
                <c:pt idx="9">
                  <c:v>76.676705702880597</c:v>
                </c:pt>
              </c:numCache>
            </c:numRef>
          </c:cat>
          <c:val>
            <c:numRef>
              <c:f>'ex4'!$L$55:$L$64</c:f>
              <c:numCache>
                <c:formatCode>General</c:formatCode>
                <c:ptCount val="10"/>
                <c:pt idx="0">
                  <c:v>3</c:v>
                </c:pt>
                <c:pt idx="1">
                  <c:v>8</c:v>
                </c:pt>
                <c:pt idx="2">
                  <c:v>24</c:v>
                </c:pt>
                <c:pt idx="3">
                  <c:v>21</c:v>
                </c:pt>
                <c:pt idx="4">
                  <c:v>15</c:v>
                </c:pt>
                <c:pt idx="5">
                  <c:v>17</c:v>
                </c:pt>
                <c:pt idx="6">
                  <c:v>6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363212536"/>
        <c:axId val="363209400"/>
      </c:barChart>
      <c:catAx>
        <c:axId val="363212536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09400"/>
        <c:crosses val="autoZero"/>
        <c:auto val="1"/>
        <c:lblAlgn val="ctr"/>
        <c:lblOffset val="100"/>
        <c:noMultiLvlLbl val="0"/>
      </c:catAx>
      <c:valAx>
        <c:axId val="363209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12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 de Y</a:t>
            </a:r>
          </a:p>
        </c:rich>
      </c:tx>
      <c:layout>
        <c:manualLayout>
          <c:xMode val="edge"/>
          <c:yMode val="edge"/>
          <c:x val="0.3521178915135608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'ex4'!$O$55:$O$64</c:f>
              <c:numCache>
                <c:formatCode>0.00</c:formatCode>
                <c:ptCount val="10"/>
                <c:pt idx="0">
                  <c:v>61.100948035535922</c:v>
                </c:pt>
                <c:pt idx="1">
                  <c:v>63.944372060165428</c:v>
                </c:pt>
                <c:pt idx="2">
                  <c:v>66.787796084794934</c:v>
                </c:pt>
                <c:pt idx="3">
                  <c:v>69.631220109424447</c:v>
                </c:pt>
                <c:pt idx="4">
                  <c:v>72.47464413405396</c:v>
                </c:pt>
                <c:pt idx="5">
                  <c:v>75.318068158683474</c:v>
                </c:pt>
                <c:pt idx="6">
                  <c:v>78.161492183312987</c:v>
                </c:pt>
                <c:pt idx="7">
                  <c:v>81.004916207942486</c:v>
                </c:pt>
                <c:pt idx="8">
                  <c:v>83.848340232571999</c:v>
                </c:pt>
                <c:pt idx="9">
                  <c:v>86.691764257201513</c:v>
                </c:pt>
              </c:numCache>
            </c:numRef>
          </c:cat>
          <c:val>
            <c:numRef>
              <c:f>'ex4'!$P$55:$P$64</c:f>
              <c:numCache>
                <c:formatCode>General</c:formatCode>
                <c:ptCount val="10"/>
                <c:pt idx="0">
                  <c:v>3</c:v>
                </c:pt>
                <c:pt idx="1">
                  <c:v>8</c:v>
                </c:pt>
                <c:pt idx="2">
                  <c:v>24</c:v>
                </c:pt>
                <c:pt idx="3">
                  <c:v>21</c:v>
                </c:pt>
                <c:pt idx="4">
                  <c:v>15</c:v>
                </c:pt>
                <c:pt idx="5">
                  <c:v>17</c:v>
                </c:pt>
                <c:pt idx="6">
                  <c:v>6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363214104"/>
        <c:axId val="363209792"/>
      </c:barChart>
      <c:catAx>
        <c:axId val="363214104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09792"/>
        <c:crosses val="autoZero"/>
        <c:auto val="1"/>
        <c:lblAlgn val="ctr"/>
        <c:lblOffset val="100"/>
        <c:noMultiLvlLbl val="0"/>
      </c:catAx>
      <c:valAx>
        <c:axId val="36320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14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 de 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'ex4'!$S$55:$S$64</c:f>
              <c:numCache>
                <c:formatCode>0.00</c:formatCode>
                <c:ptCount val="10"/>
                <c:pt idx="0">
                  <c:v>52.201896071071836</c:v>
                </c:pt>
                <c:pt idx="1">
                  <c:v>57.888744120330855</c:v>
                </c:pt>
                <c:pt idx="2">
                  <c:v>63.575592169589882</c:v>
                </c:pt>
                <c:pt idx="3">
                  <c:v>69.262440218848894</c:v>
                </c:pt>
                <c:pt idx="4">
                  <c:v>74.949288268107921</c:v>
                </c:pt>
                <c:pt idx="5">
                  <c:v>80.636136317366947</c:v>
                </c:pt>
                <c:pt idx="6">
                  <c:v>86.32298436662596</c:v>
                </c:pt>
                <c:pt idx="7">
                  <c:v>92.009832415884972</c:v>
                </c:pt>
                <c:pt idx="8">
                  <c:v>97.696680465143999</c:v>
                </c:pt>
                <c:pt idx="9">
                  <c:v>103.38352851440303</c:v>
                </c:pt>
              </c:numCache>
            </c:numRef>
          </c:cat>
          <c:val>
            <c:numRef>
              <c:f>'ex4'!$T$55:$T$64</c:f>
              <c:numCache>
                <c:formatCode>General</c:formatCode>
                <c:ptCount val="10"/>
                <c:pt idx="0">
                  <c:v>3</c:v>
                </c:pt>
                <c:pt idx="1">
                  <c:v>8</c:v>
                </c:pt>
                <c:pt idx="2">
                  <c:v>24</c:v>
                </c:pt>
                <c:pt idx="3">
                  <c:v>21</c:v>
                </c:pt>
                <c:pt idx="4">
                  <c:v>15</c:v>
                </c:pt>
                <c:pt idx="5">
                  <c:v>17</c:v>
                </c:pt>
                <c:pt idx="6">
                  <c:v>6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363208616"/>
        <c:axId val="363208224"/>
      </c:barChart>
      <c:catAx>
        <c:axId val="363208616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08224"/>
        <c:crosses val="autoZero"/>
        <c:auto val="1"/>
        <c:lblAlgn val="ctr"/>
        <c:lblOffset val="100"/>
        <c:noMultiLvlLbl val="0"/>
      </c:catAx>
      <c:valAx>
        <c:axId val="36320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08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 Bimodal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'ex5'!$T$23:$T$33</c:f>
              <c:numCache>
                <c:formatCode>General</c:formatCode>
                <c:ptCount val="11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60</c:v>
                </c:pt>
                <c:pt idx="5">
                  <c:v>70</c:v>
                </c:pt>
                <c:pt idx="6">
                  <c:v>80</c:v>
                </c:pt>
                <c:pt idx="7">
                  <c:v>90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</c:numCache>
            </c:numRef>
          </c:cat>
          <c:val>
            <c:numRef>
              <c:f>'ex5'!$U$23:$U$33</c:f>
              <c:numCache>
                <c:formatCode>General</c:formatCode>
                <c:ptCount val="11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7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363210576"/>
        <c:axId val="363213320"/>
      </c:barChart>
      <c:catAx>
        <c:axId val="36321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13320"/>
        <c:crosses val="autoZero"/>
        <c:auto val="1"/>
        <c:lblAlgn val="ctr"/>
        <c:lblOffset val="100"/>
        <c:noMultiLvlLbl val="0"/>
      </c:catAx>
      <c:valAx>
        <c:axId val="363213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1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'ex25'!$A$2:$A$8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</c:numCache>
            </c:numRef>
          </c:cat>
          <c:val>
            <c:numRef>
              <c:f>'ex25'!$C$2:$C$8</c:f>
              <c:numCache>
                <c:formatCode>General</c:formatCode>
                <c:ptCount val="7"/>
                <c:pt idx="0">
                  <c:v>10000</c:v>
                </c:pt>
                <c:pt idx="1">
                  <c:v>3900</c:v>
                </c:pt>
                <c:pt idx="2">
                  <c:v>2000</c:v>
                </c:pt>
                <c:pt idx="3">
                  <c:v>1100</c:v>
                </c:pt>
                <c:pt idx="4">
                  <c:v>800</c:v>
                </c:pt>
                <c:pt idx="5">
                  <c:v>700</c:v>
                </c:pt>
                <c:pt idx="6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363209008"/>
        <c:axId val="363207048"/>
      </c:barChart>
      <c:catAx>
        <c:axId val="36320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07048"/>
        <c:crosses val="autoZero"/>
        <c:auto val="1"/>
        <c:lblAlgn val="ctr"/>
        <c:lblOffset val="100"/>
        <c:noMultiLvlLbl val="0"/>
      </c:catAx>
      <c:valAx>
        <c:axId val="36320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320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Histograma</a:t>
            </a:r>
          </a:p>
        </c:rich>
      </c:tx>
      <c:layout>
        <c:manualLayout>
          <c:xMode val="edge"/>
          <c:yMode val="edge"/>
          <c:x val="0.3604512248468941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'ex26'!$A$10:$A$14</c:f>
              <c:strCache>
                <c:ptCount val="5"/>
                <c:pt idx="0">
                  <c:v>2|-4</c:v>
                </c:pt>
                <c:pt idx="1">
                  <c:v>4|-6</c:v>
                </c:pt>
                <c:pt idx="2">
                  <c:v>6|-8</c:v>
                </c:pt>
                <c:pt idx="3">
                  <c:v>8|-10</c:v>
                </c:pt>
                <c:pt idx="4">
                  <c:v>10|-12</c:v>
                </c:pt>
              </c:strCache>
            </c:strRef>
          </c:cat>
          <c:val>
            <c:numRef>
              <c:f>'ex26'!$B$10:$B$14</c:f>
              <c:numCache>
                <c:formatCode>0%</c:formatCode>
                <c:ptCount val="5"/>
                <c:pt idx="0">
                  <c:v>0.15</c:v>
                </c:pt>
                <c:pt idx="1">
                  <c:v>0.25</c:v>
                </c:pt>
                <c:pt idx="2">
                  <c:v>0.2</c:v>
                </c:pt>
                <c:pt idx="3">
                  <c:v>0.3</c:v>
                </c:pt>
                <c:pt idx="4">
                  <c:v>0.1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429143040"/>
        <c:axId val="429147352"/>
      </c:barChart>
      <c:catAx>
        <c:axId val="42914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9147352"/>
        <c:crosses val="autoZero"/>
        <c:auto val="1"/>
        <c:lblAlgn val="ctr"/>
        <c:lblOffset val="100"/>
        <c:noMultiLvlLbl val="0"/>
      </c:catAx>
      <c:valAx>
        <c:axId val="42914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9143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304800</xdr:colOff>
      <xdr:row>7</xdr:row>
      <xdr:rowOff>185737</xdr:rowOff>
    </xdr:from>
    <xdr:to>
      <xdr:col>20</xdr:col>
      <xdr:colOff>0</xdr:colOff>
      <xdr:row>22</xdr:row>
      <xdr:rowOff>61912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371475</xdr:colOff>
      <xdr:row>64</xdr:row>
      <xdr:rowOff>42861</xdr:rowOff>
    </xdr:from>
    <xdr:to>
      <xdr:col>13</xdr:col>
      <xdr:colOff>133350</xdr:colOff>
      <xdr:row>82</xdr:row>
      <xdr:rowOff>104774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361950</xdr:colOff>
      <xdr:row>65</xdr:row>
      <xdr:rowOff>138112</xdr:rowOff>
    </xdr:from>
    <xdr:to>
      <xdr:col>17</xdr:col>
      <xdr:colOff>1057275</xdr:colOff>
      <xdr:row>80</xdr:row>
      <xdr:rowOff>23812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76200</xdr:colOff>
      <xdr:row>73</xdr:row>
      <xdr:rowOff>166687</xdr:rowOff>
    </xdr:from>
    <xdr:to>
      <xdr:col>25</xdr:col>
      <xdr:colOff>381000</xdr:colOff>
      <xdr:row>88</xdr:row>
      <xdr:rowOff>52387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23</xdr:row>
      <xdr:rowOff>138112</xdr:rowOff>
    </xdr:from>
    <xdr:to>
      <xdr:col>17</xdr:col>
      <xdr:colOff>219075</xdr:colOff>
      <xdr:row>38</xdr:row>
      <xdr:rowOff>23812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0</xdr:rowOff>
    </xdr:from>
    <xdr:to>
      <xdr:col>14</xdr:col>
      <xdr:colOff>381000</xdr:colOff>
      <xdr:row>14</xdr:row>
      <xdr:rowOff>76200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352425</xdr:colOff>
      <xdr:row>8</xdr:row>
      <xdr:rowOff>61912</xdr:rowOff>
    </xdr:from>
    <xdr:to>
      <xdr:col>16</xdr:col>
      <xdr:colOff>47625</xdr:colOff>
      <xdr:row>22</xdr:row>
      <xdr:rowOff>138112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E10" sqref="E10"/>
    </sheetView>
  </sheetViews>
  <sheetFormatPr defaultRowHeight="15" x14ac:dyDescent="0.25"/>
  <cols>
    <col min="1" max="1" width="9.140625" style="2"/>
    <col min="2" max="2" width="10.85546875" style="2" bestFit="1" customWidth="1"/>
    <col min="5" max="5" width="14.42578125" bestFit="1" customWidth="1"/>
  </cols>
  <sheetData>
    <row r="1" spans="1:6" x14ac:dyDescent="0.25">
      <c r="A1" s="2" t="s">
        <v>0</v>
      </c>
      <c r="B1" s="2" t="s">
        <v>1</v>
      </c>
      <c r="D1" t="s">
        <v>6</v>
      </c>
      <c r="E1" t="s">
        <v>2</v>
      </c>
      <c r="F1">
        <f>SUM(C2:C6)/50</f>
        <v>0.66</v>
      </c>
    </row>
    <row r="2" spans="1:6" x14ac:dyDescent="0.25">
      <c r="A2" s="2">
        <v>0</v>
      </c>
      <c r="B2" s="2">
        <v>25</v>
      </c>
      <c r="C2">
        <f>A2*B2</f>
        <v>0</v>
      </c>
      <c r="D2" t="s">
        <v>7</v>
      </c>
      <c r="E2" t="s">
        <v>3</v>
      </c>
      <c r="F2">
        <f>MEDIAN(A8:A57)</f>
        <v>0.5</v>
      </c>
    </row>
    <row r="3" spans="1:6" x14ac:dyDescent="0.25">
      <c r="A3" s="2">
        <v>1</v>
      </c>
      <c r="B3" s="2">
        <v>20</v>
      </c>
      <c r="C3">
        <f t="shared" ref="C3:C6" si="0">A3*B3</f>
        <v>20</v>
      </c>
      <c r="D3" t="s">
        <v>8</v>
      </c>
      <c r="E3" t="s">
        <v>4</v>
      </c>
      <c r="F3" s="3">
        <f>_xlfn.STDEV.P(A8:A57)</f>
        <v>0.83928541033429149</v>
      </c>
    </row>
    <row r="4" spans="1:6" x14ac:dyDescent="0.25">
      <c r="A4" s="2">
        <v>2</v>
      </c>
      <c r="B4" s="2">
        <v>3</v>
      </c>
      <c r="C4">
        <f t="shared" si="0"/>
        <v>6</v>
      </c>
      <c r="D4" t="s">
        <v>9</v>
      </c>
      <c r="E4" t="s">
        <v>5</v>
      </c>
      <c r="F4">
        <f>500*F1</f>
        <v>330</v>
      </c>
    </row>
    <row r="5" spans="1:6" x14ac:dyDescent="0.25">
      <c r="A5" s="2">
        <v>3</v>
      </c>
      <c r="B5" s="2">
        <v>1</v>
      </c>
      <c r="C5">
        <f t="shared" si="0"/>
        <v>3</v>
      </c>
    </row>
    <row r="6" spans="1:6" x14ac:dyDescent="0.25">
      <c r="A6" s="2">
        <v>4</v>
      </c>
      <c r="B6" s="2">
        <v>1</v>
      </c>
      <c r="C6">
        <f t="shared" si="0"/>
        <v>4</v>
      </c>
    </row>
    <row r="8" spans="1:6" x14ac:dyDescent="0.25">
      <c r="A8" s="2">
        <v>0</v>
      </c>
    </row>
    <row r="9" spans="1:6" x14ac:dyDescent="0.25">
      <c r="A9" s="2">
        <v>0</v>
      </c>
    </row>
    <row r="10" spans="1:6" x14ac:dyDescent="0.25">
      <c r="A10" s="2">
        <v>0</v>
      </c>
    </row>
    <row r="11" spans="1:6" x14ac:dyDescent="0.25">
      <c r="A11" s="2">
        <v>0</v>
      </c>
    </row>
    <row r="12" spans="1:6" x14ac:dyDescent="0.25">
      <c r="A12" s="2">
        <v>0</v>
      </c>
    </row>
    <row r="13" spans="1:6" x14ac:dyDescent="0.25">
      <c r="A13" s="2">
        <v>0</v>
      </c>
    </row>
    <row r="14" spans="1:6" x14ac:dyDescent="0.25">
      <c r="A14" s="2">
        <v>0</v>
      </c>
    </row>
    <row r="15" spans="1:6" x14ac:dyDescent="0.25">
      <c r="A15" s="2">
        <v>0</v>
      </c>
    </row>
    <row r="16" spans="1:6" x14ac:dyDescent="0.25">
      <c r="A16" s="2">
        <v>0</v>
      </c>
    </row>
    <row r="17" spans="1:1" x14ac:dyDescent="0.25">
      <c r="A17" s="2">
        <v>0</v>
      </c>
    </row>
    <row r="18" spans="1:1" x14ac:dyDescent="0.25">
      <c r="A18" s="2">
        <v>0</v>
      </c>
    </row>
    <row r="19" spans="1:1" x14ac:dyDescent="0.25">
      <c r="A19" s="2">
        <v>0</v>
      </c>
    </row>
    <row r="20" spans="1:1" x14ac:dyDescent="0.25">
      <c r="A20" s="2">
        <v>0</v>
      </c>
    </row>
    <row r="21" spans="1:1" x14ac:dyDescent="0.25">
      <c r="A21" s="2">
        <v>0</v>
      </c>
    </row>
    <row r="22" spans="1:1" x14ac:dyDescent="0.25">
      <c r="A22" s="2">
        <v>0</v>
      </c>
    </row>
    <row r="23" spans="1:1" x14ac:dyDescent="0.25">
      <c r="A23" s="2">
        <v>0</v>
      </c>
    </row>
    <row r="24" spans="1:1" x14ac:dyDescent="0.25">
      <c r="A24" s="2">
        <v>0</v>
      </c>
    </row>
    <row r="25" spans="1:1" x14ac:dyDescent="0.25">
      <c r="A25" s="2">
        <v>0</v>
      </c>
    </row>
    <row r="26" spans="1:1" x14ac:dyDescent="0.25">
      <c r="A26" s="2">
        <v>0</v>
      </c>
    </row>
    <row r="27" spans="1:1" x14ac:dyDescent="0.25">
      <c r="A27" s="2">
        <v>0</v>
      </c>
    </row>
    <row r="28" spans="1:1" x14ac:dyDescent="0.25">
      <c r="A28" s="2">
        <v>0</v>
      </c>
    </row>
    <row r="29" spans="1:1" x14ac:dyDescent="0.25">
      <c r="A29" s="2">
        <v>0</v>
      </c>
    </row>
    <row r="30" spans="1:1" x14ac:dyDescent="0.25">
      <c r="A30" s="2">
        <v>0</v>
      </c>
    </row>
    <row r="31" spans="1:1" x14ac:dyDescent="0.25">
      <c r="A31" s="2">
        <v>0</v>
      </c>
    </row>
    <row r="32" spans="1:1" x14ac:dyDescent="0.25">
      <c r="A32" s="2">
        <v>0</v>
      </c>
    </row>
    <row r="33" spans="1:1" x14ac:dyDescent="0.25">
      <c r="A33" s="2">
        <v>1</v>
      </c>
    </row>
    <row r="34" spans="1:1" x14ac:dyDescent="0.25">
      <c r="A34" s="2">
        <v>1</v>
      </c>
    </row>
    <row r="35" spans="1:1" x14ac:dyDescent="0.25">
      <c r="A35" s="2">
        <v>1</v>
      </c>
    </row>
    <row r="36" spans="1:1" x14ac:dyDescent="0.25">
      <c r="A36" s="2">
        <v>1</v>
      </c>
    </row>
    <row r="37" spans="1:1" x14ac:dyDescent="0.25">
      <c r="A37" s="2">
        <v>1</v>
      </c>
    </row>
    <row r="38" spans="1:1" x14ac:dyDescent="0.25">
      <c r="A38" s="2">
        <v>1</v>
      </c>
    </row>
    <row r="39" spans="1:1" x14ac:dyDescent="0.25">
      <c r="A39" s="2">
        <v>1</v>
      </c>
    </row>
    <row r="40" spans="1:1" x14ac:dyDescent="0.25">
      <c r="A40" s="2">
        <v>1</v>
      </c>
    </row>
    <row r="41" spans="1:1" x14ac:dyDescent="0.25">
      <c r="A41" s="2">
        <v>1</v>
      </c>
    </row>
    <row r="42" spans="1:1" x14ac:dyDescent="0.25">
      <c r="A42" s="2">
        <v>1</v>
      </c>
    </row>
    <row r="43" spans="1:1" x14ac:dyDescent="0.25">
      <c r="A43" s="2">
        <v>1</v>
      </c>
    </row>
    <row r="44" spans="1:1" x14ac:dyDescent="0.25">
      <c r="A44" s="2">
        <v>1</v>
      </c>
    </row>
    <row r="45" spans="1:1" x14ac:dyDescent="0.25">
      <c r="A45" s="2">
        <v>1</v>
      </c>
    </row>
    <row r="46" spans="1:1" x14ac:dyDescent="0.25">
      <c r="A46" s="2">
        <v>1</v>
      </c>
    </row>
    <row r="47" spans="1:1" x14ac:dyDescent="0.25">
      <c r="A47" s="2">
        <v>1</v>
      </c>
    </row>
    <row r="48" spans="1:1" x14ac:dyDescent="0.25">
      <c r="A48" s="2">
        <v>1</v>
      </c>
    </row>
    <row r="49" spans="1:1" x14ac:dyDescent="0.25">
      <c r="A49" s="2">
        <v>1</v>
      </c>
    </row>
    <row r="50" spans="1:1" x14ac:dyDescent="0.25">
      <c r="A50" s="2">
        <v>1</v>
      </c>
    </row>
    <row r="51" spans="1:1" x14ac:dyDescent="0.25">
      <c r="A51" s="2">
        <v>1</v>
      </c>
    </row>
    <row r="52" spans="1:1" x14ac:dyDescent="0.25">
      <c r="A52" s="2">
        <v>1</v>
      </c>
    </row>
    <row r="53" spans="1:1" x14ac:dyDescent="0.25">
      <c r="A53" s="2">
        <v>2</v>
      </c>
    </row>
    <row r="54" spans="1:1" x14ac:dyDescent="0.25">
      <c r="A54" s="2">
        <v>2</v>
      </c>
    </row>
    <row r="55" spans="1:1" x14ac:dyDescent="0.25">
      <c r="A55" s="2">
        <v>2</v>
      </c>
    </row>
    <row r="56" spans="1:1" x14ac:dyDescent="0.25">
      <c r="A56" s="2">
        <v>3</v>
      </c>
    </row>
    <row r="57" spans="1:1" x14ac:dyDescent="0.25">
      <c r="A57" s="2">
        <v>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H7" sqref="H7"/>
    </sheetView>
  </sheetViews>
  <sheetFormatPr defaultRowHeight="15" x14ac:dyDescent="0.25"/>
  <cols>
    <col min="3" max="3" width="13.7109375" bestFit="1" customWidth="1"/>
  </cols>
  <sheetData>
    <row r="1" spans="1:4" x14ac:dyDescent="0.25">
      <c r="A1" s="4">
        <v>2.59</v>
      </c>
      <c r="C1" t="s">
        <v>2</v>
      </c>
      <c r="D1">
        <f>AVERAGE(A1:A10)</f>
        <v>2.5949999999999998</v>
      </c>
    </row>
    <row r="2" spans="1:4" x14ac:dyDescent="0.25">
      <c r="A2" s="4">
        <v>2.64</v>
      </c>
      <c r="C2" t="s">
        <v>3</v>
      </c>
      <c r="D2">
        <f>MEDIAN(A1:A10)</f>
        <v>2.605</v>
      </c>
    </row>
    <row r="3" spans="1:4" x14ac:dyDescent="0.25">
      <c r="A3" s="4">
        <v>2.6</v>
      </c>
      <c r="C3" t="s">
        <v>13</v>
      </c>
      <c r="D3">
        <f>_xlfn.STDEV.P(A1:A10)</f>
        <v>4.2249260348555265E-2</v>
      </c>
    </row>
    <row r="4" spans="1:4" x14ac:dyDescent="0.25">
      <c r="A4" s="4">
        <v>2.62</v>
      </c>
    </row>
    <row r="5" spans="1:4" x14ac:dyDescent="0.25">
      <c r="A5" s="4">
        <v>2.57</v>
      </c>
    </row>
    <row r="6" spans="1:4" x14ac:dyDescent="0.25">
      <c r="A6" s="4">
        <v>2.5499999999999998</v>
      </c>
    </row>
    <row r="7" spans="1:4" x14ac:dyDescent="0.25">
      <c r="A7" s="4">
        <v>2.61</v>
      </c>
    </row>
    <row r="8" spans="1:4" x14ac:dyDescent="0.25">
      <c r="A8" s="4">
        <v>2.5</v>
      </c>
    </row>
    <row r="9" spans="1:4" x14ac:dyDescent="0.25">
      <c r="A9" s="4">
        <v>2.63</v>
      </c>
    </row>
    <row r="10" spans="1:4" x14ac:dyDescent="0.25">
      <c r="A10" s="4">
        <v>2.64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5"/>
    </sheetView>
  </sheetViews>
  <sheetFormatPr defaultRowHeight="15" x14ac:dyDescent="0.25"/>
  <cols>
    <col min="1" max="1" width="13.7109375" bestFit="1" customWidth="1"/>
  </cols>
  <sheetData>
    <row r="1" spans="1:10" ht="15.75" thickBot="1" x14ac:dyDescent="0.3">
      <c r="A1" s="5">
        <v>2</v>
      </c>
      <c r="B1" s="6">
        <v>2</v>
      </c>
      <c r="C1" s="6">
        <v>3</v>
      </c>
      <c r="D1" s="6">
        <v>10</v>
      </c>
      <c r="E1" s="6">
        <v>13</v>
      </c>
      <c r="F1" s="6">
        <v>14</v>
      </c>
      <c r="G1" s="6">
        <v>15</v>
      </c>
      <c r="H1" s="6">
        <v>15</v>
      </c>
      <c r="I1" s="6">
        <v>16</v>
      </c>
      <c r="J1" s="6">
        <v>16</v>
      </c>
    </row>
    <row r="2" spans="1:10" ht="15.75" thickBot="1" x14ac:dyDescent="0.3">
      <c r="A2" s="7">
        <v>18</v>
      </c>
      <c r="B2" s="8">
        <v>18</v>
      </c>
      <c r="C2" s="8">
        <v>20</v>
      </c>
      <c r="D2" s="8">
        <v>21</v>
      </c>
      <c r="E2" s="8">
        <v>22</v>
      </c>
      <c r="F2" s="8">
        <v>22</v>
      </c>
      <c r="G2" s="8">
        <v>23</v>
      </c>
      <c r="H2" s="8">
        <v>24</v>
      </c>
      <c r="I2" s="8">
        <v>25</v>
      </c>
      <c r="J2" s="8">
        <v>25</v>
      </c>
    </row>
    <row r="3" spans="1:10" ht="15.75" thickBot="1" x14ac:dyDescent="0.3">
      <c r="A3" s="7">
        <v>26</v>
      </c>
      <c r="B3" s="8">
        <v>27</v>
      </c>
      <c r="C3" s="8">
        <v>29</v>
      </c>
      <c r="D3" s="8">
        <v>29</v>
      </c>
      <c r="E3" s="8">
        <v>30</v>
      </c>
      <c r="F3" s="8">
        <v>32</v>
      </c>
      <c r="G3" s="8">
        <v>36</v>
      </c>
      <c r="H3" s="8">
        <v>42</v>
      </c>
      <c r="I3" s="8">
        <v>44</v>
      </c>
      <c r="J3" s="8">
        <v>45</v>
      </c>
    </row>
    <row r="4" spans="1:10" ht="15.75" thickBot="1" x14ac:dyDescent="0.3">
      <c r="A4" s="7">
        <v>45</v>
      </c>
      <c r="B4" s="8">
        <v>46</v>
      </c>
      <c r="C4" s="8">
        <v>48</v>
      </c>
      <c r="D4" s="8">
        <v>52</v>
      </c>
      <c r="E4" s="8">
        <v>58</v>
      </c>
      <c r="F4" s="8">
        <v>59</v>
      </c>
      <c r="G4" s="8">
        <v>61</v>
      </c>
      <c r="H4" s="8">
        <v>61</v>
      </c>
      <c r="I4" s="8">
        <v>61</v>
      </c>
      <c r="J4" s="8">
        <v>65</v>
      </c>
    </row>
    <row r="5" spans="1:10" ht="15.75" thickBot="1" x14ac:dyDescent="0.3">
      <c r="A5" s="7">
        <v>66</v>
      </c>
      <c r="B5" s="8">
        <v>66</v>
      </c>
      <c r="C5" s="8">
        <v>68</v>
      </c>
      <c r="D5" s="8">
        <v>75</v>
      </c>
      <c r="E5" s="8">
        <v>78</v>
      </c>
      <c r="F5" s="8">
        <v>80</v>
      </c>
      <c r="G5" s="8">
        <v>89</v>
      </c>
      <c r="H5" s="8">
        <v>90</v>
      </c>
      <c r="I5" s="8">
        <v>92</v>
      </c>
      <c r="J5" s="8">
        <v>97</v>
      </c>
    </row>
    <row r="8" spans="1:10" ht="18.75" x14ac:dyDescent="0.3">
      <c r="A8" s="44" t="s">
        <v>14</v>
      </c>
      <c r="B8" s="44"/>
      <c r="D8" s="45" t="s">
        <v>14</v>
      </c>
      <c r="E8" s="46"/>
      <c r="F8" s="46"/>
      <c r="G8" s="46"/>
      <c r="H8" s="46"/>
      <c r="I8" s="46"/>
    </row>
    <row r="9" spans="1:10" x14ac:dyDescent="0.25">
      <c r="A9" s="9" t="s">
        <v>15</v>
      </c>
      <c r="B9" s="10">
        <f>MIN(A1:J5)</f>
        <v>2</v>
      </c>
      <c r="D9" s="11" t="s">
        <v>16</v>
      </c>
      <c r="E9" s="12" t="s">
        <v>17</v>
      </c>
      <c r="F9" s="11" t="s">
        <v>18</v>
      </c>
      <c r="G9" s="11" t="s">
        <v>19</v>
      </c>
      <c r="H9" s="11" t="s">
        <v>20</v>
      </c>
      <c r="I9" s="11" t="s">
        <v>21</v>
      </c>
    </row>
    <row r="10" spans="1:10" x14ac:dyDescent="0.25">
      <c r="A10" s="13" t="s">
        <v>22</v>
      </c>
      <c r="B10" s="10">
        <f>MAX(A1:J5)</f>
        <v>97</v>
      </c>
      <c r="D10" s="14">
        <v>1</v>
      </c>
      <c r="E10" s="14">
        <f>($B$9-($B$15/2))+D10*$B$15</f>
        <v>9.9166666666666679</v>
      </c>
      <c r="F10" s="14">
        <f t="array" ref="F10:F16">FREQUENCY(A1:J5,E10:E16)</f>
        <v>3</v>
      </c>
      <c r="G10" s="14">
        <f>F10/$F$17</f>
        <v>0.06</v>
      </c>
      <c r="H10" s="14">
        <f>F10</f>
        <v>3</v>
      </c>
      <c r="I10" s="14">
        <f>G10</f>
        <v>0.06</v>
      </c>
    </row>
    <row r="11" spans="1:10" x14ac:dyDescent="0.25">
      <c r="A11" s="13" t="s">
        <v>2</v>
      </c>
      <c r="B11" s="10">
        <f>AVERAGE(A1:J5)</f>
        <v>40.42</v>
      </c>
      <c r="D11" s="14">
        <v>2</v>
      </c>
      <c r="E11" s="14">
        <f t="shared" ref="E11:E16" si="0">($B$9-($B$15/2))+D11*$B$15</f>
        <v>25.75</v>
      </c>
      <c r="F11" s="14">
        <v>17</v>
      </c>
      <c r="G11" s="14">
        <f t="shared" ref="G11:G16" si="1">F11/$F$17</f>
        <v>0.34</v>
      </c>
      <c r="H11" s="14">
        <f t="shared" ref="H11:I15" si="2">F11+H10</f>
        <v>20</v>
      </c>
      <c r="I11" s="14">
        <f t="shared" si="2"/>
        <v>0.4</v>
      </c>
    </row>
    <row r="12" spans="1:10" x14ac:dyDescent="0.25">
      <c r="A12" s="13" t="s">
        <v>23</v>
      </c>
      <c r="B12" s="14">
        <f>COUNT(A1:J5)</f>
        <v>50</v>
      </c>
      <c r="D12" s="14">
        <v>3</v>
      </c>
      <c r="E12" s="14">
        <f t="shared" si="0"/>
        <v>41.583333333333336</v>
      </c>
      <c r="F12" s="14">
        <v>7</v>
      </c>
      <c r="G12" s="14">
        <f t="shared" si="1"/>
        <v>0.14000000000000001</v>
      </c>
      <c r="H12" s="14">
        <f t="shared" si="2"/>
        <v>27</v>
      </c>
      <c r="I12" s="14">
        <f t="shared" si="2"/>
        <v>0.54</v>
      </c>
    </row>
    <row r="13" spans="1:10" x14ac:dyDescent="0.25">
      <c r="A13" s="13" t="s">
        <v>24</v>
      </c>
      <c r="B13" s="14">
        <f>SQRT(B12)</f>
        <v>7.0710678118654755</v>
      </c>
      <c r="D13" s="14">
        <v>4</v>
      </c>
      <c r="E13" s="14">
        <f t="shared" si="0"/>
        <v>57.416666666666671</v>
      </c>
      <c r="F13" s="14">
        <v>7</v>
      </c>
      <c r="G13" s="14">
        <f t="shared" si="1"/>
        <v>0.14000000000000001</v>
      </c>
      <c r="H13" s="14">
        <f t="shared" si="2"/>
        <v>34</v>
      </c>
      <c r="I13" s="14">
        <f t="shared" si="2"/>
        <v>0.68</v>
      </c>
    </row>
    <row r="14" spans="1:10" x14ac:dyDescent="0.25">
      <c r="A14" s="13" t="s">
        <v>16</v>
      </c>
      <c r="B14" s="14">
        <f>INT(B13)</f>
        <v>7</v>
      </c>
      <c r="D14" s="14">
        <v>5</v>
      </c>
      <c r="E14" s="14">
        <f t="shared" si="0"/>
        <v>73.25</v>
      </c>
      <c r="F14" s="14">
        <v>9</v>
      </c>
      <c r="G14" s="14">
        <f t="shared" si="1"/>
        <v>0.18</v>
      </c>
      <c r="H14" s="14">
        <f t="shared" si="2"/>
        <v>43</v>
      </c>
      <c r="I14" s="14">
        <f t="shared" si="2"/>
        <v>0.8600000000000001</v>
      </c>
    </row>
    <row r="15" spans="1:10" x14ac:dyDescent="0.25">
      <c r="A15" s="13" t="s">
        <v>25</v>
      </c>
      <c r="B15" s="14">
        <f>(B10-B9)/(B14-1)</f>
        <v>15.833333333333334</v>
      </c>
      <c r="D15" s="14">
        <v>6</v>
      </c>
      <c r="E15" s="14">
        <f t="shared" si="0"/>
        <v>89.083333333333329</v>
      </c>
      <c r="F15" s="14">
        <v>4</v>
      </c>
      <c r="G15" s="14">
        <f t="shared" si="1"/>
        <v>0.08</v>
      </c>
      <c r="H15" s="14">
        <f t="shared" si="2"/>
        <v>47</v>
      </c>
      <c r="I15" s="14">
        <f t="shared" si="2"/>
        <v>0.94000000000000006</v>
      </c>
    </row>
    <row r="16" spans="1:10" x14ac:dyDescent="0.25">
      <c r="A16" s="13" t="s">
        <v>26</v>
      </c>
      <c r="B16" s="14">
        <f>_xlfn.STDEV.S(A1:J5)</f>
        <v>26.076880056275666</v>
      </c>
      <c r="D16" s="14">
        <v>7</v>
      </c>
      <c r="E16" s="14">
        <f t="shared" si="0"/>
        <v>104.91666666666667</v>
      </c>
      <c r="F16" s="14">
        <v>3</v>
      </c>
      <c r="G16" s="14">
        <f t="shared" si="1"/>
        <v>0.06</v>
      </c>
      <c r="H16" s="15">
        <f>F16+H15</f>
        <v>50</v>
      </c>
      <c r="I16" s="15">
        <f>G16+I15</f>
        <v>1</v>
      </c>
    </row>
    <row r="17" spans="4:9" x14ac:dyDescent="0.25">
      <c r="D17" s="47" t="s">
        <v>27</v>
      </c>
      <c r="E17" s="48"/>
      <c r="F17" s="16">
        <f>SUM(F10:F16)</f>
        <v>50</v>
      </c>
      <c r="G17" s="15">
        <f>SUM(G10:G16)</f>
        <v>1</v>
      </c>
      <c r="H17" s="16"/>
      <c r="I17" s="16"/>
    </row>
  </sheetData>
  <mergeCells count="3">
    <mergeCell ref="A8:B8"/>
    <mergeCell ref="D8:I8"/>
    <mergeCell ref="D17:E1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4"/>
  <sheetViews>
    <sheetView topLeftCell="J49" workbookViewId="0">
      <selection activeCell="U69" sqref="U69"/>
    </sheetView>
  </sheetViews>
  <sheetFormatPr defaultRowHeight="15" x14ac:dyDescent="0.25"/>
  <cols>
    <col min="4" max="4" width="9.140625" style="23"/>
    <col min="5" max="5" width="19.5703125" bestFit="1" customWidth="1"/>
    <col min="6" max="6" width="12.85546875" bestFit="1" customWidth="1"/>
    <col min="7" max="8" width="10.5703125" bestFit="1" customWidth="1"/>
    <col min="10" max="10" width="19.5703125" bestFit="1" customWidth="1"/>
    <col min="13" max="13" width="19.5703125" bestFit="1" customWidth="1"/>
    <col min="14" max="14" width="20.28515625" bestFit="1" customWidth="1"/>
    <col min="16" max="16" width="19.5703125" bestFit="1" customWidth="1"/>
    <col min="18" max="18" width="20.28515625" bestFit="1" customWidth="1"/>
  </cols>
  <sheetData>
    <row r="1" spans="1:10" x14ac:dyDescent="0.25">
      <c r="A1" t="s">
        <v>29</v>
      </c>
      <c r="D1"/>
    </row>
    <row r="2" spans="1:10" x14ac:dyDescent="0.25">
      <c r="A2" s="49" t="s">
        <v>28</v>
      </c>
      <c r="B2" s="49"/>
      <c r="C2" s="49"/>
      <c r="D2" s="49"/>
      <c r="E2" s="49"/>
      <c r="F2" s="49"/>
      <c r="G2" s="49"/>
      <c r="H2" s="49"/>
      <c r="I2" s="49"/>
    </row>
    <row r="3" spans="1:10" x14ac:dyDescent="0.25">
      <c r="A3" s="49"/>
      <c r="B3" s="49"/>
      <c r="C3" s="49"/>
      <c r="D3" s="49"/>
      <c r="E3" s="49"/>
      <c r="F3" s="49"/>
      <c r="G3" s="49"/>
      <c r="H3" s="49"/>
      <c r="I3" s="49"/>
    </row>
    <row r="4" spans="1:10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0" x14ac:dyDescent="0.25">
      <c r="A5" s="49"/>
      <c r="B5" s="49"/>
      <c r="C5" s="49"/>
      <c r="D5" s="49"/>
      <c r="E5" s="49"/>
      <c r="F5" s="49"/>
      <c r="G5" s="49"/>
      <c r="H5" s="49"/>
      <c r="I5" s="49"/>
    </row>
    <row r="6" spans="1:10" s="23" customFormat="1" x14ac:dyDescent="0.25"/>
    <row r="7" spans="1:10" ht="15.75" thickBot="1" x14ac:dyDescent="0.3">
      <c r="A7" t="s">
        <v>30</v>
      </c>
      <c r="D7"/>
    </row>
    <row r="8" spans="1:10" x14ac:dyDescent="0.25">
      <c r="A8" t="s">
        <v>32</v>
      </c>
      <c r="B8" t="s">
        <v>31</v>
      </c>
      <c r="D8"/>
      <c r="E8" s="21" t="s">
        <v>31</v>
      </c>
      <c r="F8" s="21"/>
      <c r="H8" t="s">
        <v>16</v>
      </c>
      <c r="I8" t="s">
        <v>17</v>
      </c>
      <c r="J8" t="s">
        <v>43</v>
      </c>
    </row>
    <row r="9" spans="1:10" x14ac:dyDescent="0.25">
      <c r="A9">
        <v>-0.35700054468179587</v>
      </c>
      <c r="B9" s="17">
        <f>3*A9+70</f>
        <v>68.928998365954612</v>
      </c>
      <c r="D9"/>
      <c r="E9" s="18"/>
      <c r="F9" s="18"/>
      <c r="H9">
        <v>1</v>
      </c>
      <c r="I9" s="17">
        <f>($F$19-($F$26/2))+H9*$F$26</f>
        <v>62.417566924511149</v>
      </c>
      <c r="J9">
        <f t="array" ref="J9:J18">FREQUENCY(B9:B108,I9:I18)</f>
        <v>1</v>
      </c>
    </row>
    <row r="10" spans="1:10" x14ac:dyDescent="0.25">
      <c r="A10">
        <v>-0.524848928762367</v>
      </c>
      <c r="B10" s="17">
        <f t="shared" ref="B10:B73" si="0">3*A10+70</f>
        <v>68.425453213712899</v>
      </c>
      <c r="D10"/>
      <c r="E10" s="18" t="s">
        <v>2</v>
      </c>
      <c r="F10" s="18">
        <v>69.992199229836842</v>
      </c>
      <c r="H10">
        <v>2</v>
      </c>
      <c r="I10" s="17">
        <f t="shared" ref="I10:I18" si="1">($F$19-($F$26/2))+H10*$F$26</f>
        <v>64.479694578330964</v>
      </c>
      <c r="J10">
        <v>3</v>
      </c>
    </row>
    <row r="11" spans="1:10" x14ac:dyDescent="0.25">
      <c r="A11">
        <v>0.45862407205277123</v>
      </c>
      <c r="B11" s="17">
        <f t="shared" si="0"/>
        <v>71.375872216158314</v>
      </c>
      <c r="D11"/>
      <c r="E11" s="18" t="s">
        <v>33</v>
      </c>
      <c r="F11" s="18">
        <v>0.29600240489973395</v>
      </c>
      <c r="H11">
        <v>3</v>
      </c>
      <c r="I11" s="17">
        <f t="shared" si="1"/>
        <v>66.541822232150793</v>
      </c>
      <c r="J11">
        <v>7</v>
      </c>
    </row>
    <row r="12" spans="1:10" x14ac:dyDescent="0.25">
      <c r="A12">
        <v>-0.30760247682337649</v>
      </c>
      <c r="B12" s="17">
        <f t="shared" si="0"/>
        <v>69.077192569529871</v>
      </c>
      <c r="D12"/>
      <c r="E12" s="18" t="s">
        <v>3</v>
      </c>
      <c r="F12" s="18">
        <v>70.081269604379486</v>
      </c>
      <c r="H12">
        <v>4</v>
      </c>
      <c r="I12" s="17">
        <f t="shared" si="1"/>
        <v>68.603949885970607</v>
      </c>
      <c r="J12">
        <v>17</v>
      </c>
    </row>
    <row r="13" spans="1:10" x14ac:dyDescent="0.25">
      <c r="A13">
        <v>-2.0539664546959102</v>
      </c>
      <c r="B13" s="17">
        <f t="shared" si="0"/>
        <v>63.838100635912269</v>
      </c>
      <c r="D13"/>
      <c r="E13" s="18" t="s">
        <v>34</v>
      </c>
      <c r="F13" s="18">
        <v>70.144292471304652</v>
      </c>
      <c r="H13">
        <v>5</v>
      </c>
      <c r="I13" s="17">
        <f t="shared" si="1"/>
        <v>70.666077539790422</v>
      </c>
      <c r="J13">
        <v>31</v>
      </c>
    </row>
    <row r="14" spans="1:10" x14ac:dyDescent="0.25">
      <c r="A14">
        <v>0.28044269129168242</v>
      </c>
      <c r="B14" s="17">
        <f t="shared" si="0"/>
        <v>70.841328073875047</v>
      </c>
      <c r="D14"/>
      <c r="E14" s="18" t="s">
        <v>35</v>
      </c>
      <c r="F14" s="18">
        <v>2.9600240489973397</v>
      </c>
      <c r="H14">
        <v>6</v>
      </c>
      <c r="I14" s="17">
        <f t="shared" si="1"/>
        <v>72.72820519361025</v>
      </c>
      <c r="J14">
        <v>27</v>
      </c>
    </row>
    <row r="15" spans="1:10" x14ac:dyDescent="0.25">
      <c r="A15">
        <v>7.170228855102323E-2</v>
      </c>
      <c r="B15" s="17">
        <f t="shared" si="0"/>
        <v>70.21510686565307</v>
      </c>
      <c r="D15"/>
      <c r="E15" s="18" t="s">
        <v>36</v>
      </c>
      <c r="F15" s="18">
        <v>8.7617423706426045</v>
      </c>
      <c r="H15">
        <v>7</v>
      </c>
      <c r="I15" s="17">
        <f t="shared" si="1"/>
        <v>74.790332847430065</v>
      </c>
      <c r="J15">
        <v>9</v>
      </c>
    </row>
    <row r="16" spans="1:10" x14ac:dyDescent="0.25">
      <c r="A16">
        <v>5.4455995268654078E-2</v>
      </c>
      <c r="B16" s="17">
        <f t="shared" si="0"/>
        <v>70.163367985805962</v>
      </c>
      <c r="D16"/>
      <c r="E16" s="18" t="s">
        <v>37</v>
      </c>
      <c r="F16" s="18">
        <v>1.1882367388855823</v>
      </c>
      <c r="H16">
        <v>8</v>
      </c>
      <c r="I16" s="17">
        <f t="shared" si="1"/>
        <v>76.85246050124988</v>
      </c>
      <c r="J16">
        <v>4</v>
      </c>
    </row>
    <row r="17" spans="1:10" x14ac:dyDescent="0.25">
      <c r="A17">
        <v>-0.38058260543039069</v>
      </c>
      <c r="B17" s="17">
        <f t="shared" si="0"/>
        <v>68.858252183708828</v>
      </c>
      <c r="D17"/>
      <c r="E17" s="18" t="s">
        <v>38</v>
      </c>
      <c r="F17" s="18">
        <v>-1.977352600379087E-2</v>
      </c>
      <c r="H17">
        <v>9</v>
      </c>
      <c r="I17" s="17">
        <f t="shared" si="1"/>
        <v>78.914588155069708</v>
      </c>
      <c r="J17">
        <v>0</v>
      </c>
    </row>
    <row r="18" spans="1:10" x14ac:dyDescent="0.25">
      <c r="A18">
        <v>0.76097990131529514</v>
      </c>
      <c r="B18" s="17">
        <f t="shared" si="0"/>
        <v>72.282939703945885</v>
      </c>
      <c r="D18"/>
      <c r="E18" s="18" t="s">
        <v>39</v>
      </c>
      <c r="F18" s="18">
        <v>18.559148884378374</v>
      </c>
      <c r="H18">
        <v>10</v>
      </c>
      <c r="I18" s="17">
        <f t="shared" si="1"/>
        <v>80.976715808889523</v>
      </c>
      <c r="J18">
        <v>1</v>
      </c>
    </row>
    <row r="19" spans="1:10" x14ac:dyDescent="0.25">
      <c r="A19">
        <v>-0.7489757081202697</v>
      </c>
      <c r="B19" s="17">
        <f t="shared" si="0"/>
        <v>67.753072875639191</v>
      </c>
      <c r="D19"/>
      <c r="E19" s="18" t="s">
        <v>15</v>
      </c>
      <c r="F19" s="18">
        <v>61.386503097601235</v>
      </c>
    </row>
    <row r="20" spans="1:10" x14ac:dyDescent="0.25">
      <c r="A20">
        <v>0.80833615356823429</v>
      </c>
      <c r="B20" s="17">
        <f t="shared" si="0"/>
        <v>72.425008460704703</v>
      </c>
      <c r="D20"/>
      <c r="E20" s="18" t="s">
        <v>22</v>
      </c>
      <c r="F20" s="18">
        <v>79.945651981979609</v>
      </c>
    </row>
    <row r="21" spans="1:10" x14ac:dyDescent="0.25">
      <c r="A21">
        <v>0.22350150175043382</v>
      </c>
      <c r="B21" s="17">
        <f t="shared" si="0"/>
        <v>70.670504505251301</v>
      </c>
      <c r="D21"/>
      <c r="E21" s="18" t="s">
        <v>40</v>
      </c>
      <c r="F21" s="18">
        <v>6999.2199229836842</v>
      </c>
    </row>
    <row r="22" spans="1:10" ht="15.75" thickBot="1" x14ac:dyDescent="0.3">
      <c r="A22">
        <v>8.259803507826291E-2</v>
      </c>
      <c r="B22" s="17">
        <f t="shared" si="0"/>
        <v>70.247794105234789</v>
      </c>
      <c r="D22"/>
      <c r="E22" s="19" t="s">
        <v>41</v>
      </c>
      <c r="F22" s="19">
        <v>100</v>
      </c>
    </row>
    <row r="23" spans="1:10" x14ac:dyDescent="0.25">
      <c r="A23">
        <v>0.74654735726653598</v>
      </c>
      <c r="B23" s="17">
        <f t="shared" si="0"/>
        <v>72.239642071799608</v>
      </c>
      <c r="D23"/>
    </row>
    <row r="24" spans="1:10" x14ac:dyDescent="0.25">
      <c r="A24">
        <v>-1.4527040548273362</v>
      </c>
      <c r="B24" s="17">
        <f t="shared" si="0"/>
        <v>65.641887835517991</v>
      </c>
      <c r="D24"/>
      <c r="E24" t="s">
        <v>24</v>
      </c>
      <c r="F24">
        <f>SQRT(F22)</f>
        <v>10</v>
      </c>
    </row>
    <row r="25" spans="1:10" x14ac:dyDescent="0.25">
      <c r="A25">
        <v>1.2816735761589371</v>
      </c>
      <c r="B25" s="17">
        <f t="shared" si="0"/>
        <v>73.845020728476811</v>
      </c>
      <c r="D25"/>
      <c r="E25" t="s">
        <v>16</v>
      </c>
      <c r="F25">
        <f>INT(F24)</f>
        <v>10</v>
      </c>
    </row>
    <row r="26" spans="1:10" x14ac:dyDescent="0.25">
      <c r="A26">
        <v>-0.32787852433102671</v>
      </c>
      <c r="B26" s="17">
        <f t="shared" si="0"/>
        <v>69.01636442700692</v>
      </c>
      <c r="D26"/>
      <c r="E26" t="s">
        <v>42</v>
      </c>
      <c r="F26">
        <f>(F20-F19)/(F25-1)</f>
        <v>2.0621276538198194</v>
      </c>
    </row>
    <row r="27" spans="1:10" x14ac:dyDescent="0.25">
      <c r="A27">
        <v>-0.91351239461801015</v>
      </c>
      <c r="B27" s="17">
        <f t="shared" si="0"/>
        <v>67.25946281614597</v>
      </c>
      <c r="D27"/>
    </row>
    <row r="28" spans="1:10" x14ac:dyDescent="0.25">
      <c r="A28">
        <v>-0.4002322384621948</v>
      </c>
      <c r="B28" s="17">
        <f t="shared" si="0"/>
        <v>68.799303284613416</v>
      </c>
      <c r="D28"/>
    </row>
    <row r="29" spans="1:10" x14ac:dyDescent="0.25">
      <c r="A29">
        <v>0.82757651398424059</v>
      </c>
      <c r="B29" s="17">
        <f t="shared" si="0"/>
        <v>72.482729541952722</v>
      </c>
      <c r="D29"/>
    </row>
    <row r="30" spans="1:10" x14ac:dyDescent="0.25">
      <c r="A30">
        <v>1.7722231859806925</v>
      </c>
      <c r="B30" s="17">
        <f t="shared" si="0"/>
        <v>75.316669557942078</v>
      </c>
      <c r="D30"/>
    </row>
    <row r="31" spans="1:10" x14ac:dyDescent="0.25">
      <c r="A31">
        <v>-0.385275598091539</v>
      </c>
      <c r="B31" s="17">
        <f t="shared" si="0"/>
        <v>68.844173205725383</v>
      </c>
      <c r="D31"/>
    </row>
    <row r="32" spans="1:10" s="23" customFormat="1" x14ac:dyDescent="0.25">
      <c r="A32">
        <v>0.49116465561382938</v>
      </c>
      <c r="B32" s="17">
        <f t="shared" si="0"/>
        <v>71.473493966841488</v>
      </c>
      <c r="C32"/>
    </row>
    <row r="33" spans="1:19" ht="15.75" thickBot="1" x14ac:dyDescent="0.3">
      <c r="A33">
        <v>-0.89463355834595859</v>
      </c>
      <c r="B33" s="17">
        <f t="shared" si="0"/>
        <v>67.316099324962124</v>
      </c>
      <c r="E33" t="s">
        <v>44</v>
      </c>
    </row>
    <row r="34" spans="1:19" x14ac:dyDescent="0.25">
      <c r="A34">
        <v>0.23960978978720959</v>
      </c>
      <c r="B34" s="17">
        <f t="shared" si="0"/>
        <v>70.718829369361629</v>
      </c>
      <c r="E34" t="s">
        <v>32</v>
      </c>
      <c r="F34" t="s">
        <v>31</v>
      </c>
      <c r="G34" t="s">
        <v>45</v>
      </c>
      <c r="H34" t="s">
        <v>32</v>
      </c>
      <c r="J34" s="50" t="s">
        <v>31</v>
      </c>
      <c r="K34" s="50"/>
      <c r="L34" s="24"/>
      <c r="N34" s="50" t="s">
        <v>45</v>
      </c>
      <c r="O34" s="50"/>
      <c r="P34" s="24"/>
      <c r="R34" s="21" t="s">
        <v>32</v>
      </c>
      <c r="S34" s="21"/>
    </row>
    <row r="35" spans="1:19" x14ac:dyDescent="0.25">
      <c r="A35">
        <v>1.0545409168116748</v>
      </c>
      <c r="B35" s="17">
        <f t="shared" si="0"/>
        <v>73.163622750435024</v>
      </c>
      <c r="E35">
        <v>0.87528178482898511</v>
      </c>
      <c r="F35" s="22">
        <f>E35*2+70</f>
        <v>71.75056356965797</v>
      </c>
      <c r="G35" s="22">
        <f>E35*5+70</f>
        <v>74.376408924144926</v>
      </c>
      <c r="H35" s="22">
        <f>E35*10+70</f>
        <v>78.752817848289851</v>
      </c>
      <c r="J35" s="18"/>
      <c r="K35" s="18"/>
      <c r="L35" s="18"/>
      <c r="N35" s="18"/>
      <c r="O35" s="18"/>
      <c r="P35" s="18"/>
      <c r="R35" s="18"/>
      <c r="S35" s="18"/>
    </row>
    <row r="36" spans="1:19" x14ac:dyDescent="0.25">
      <c r="A36">
        <v>0.11989186532446183</v>
      </c>
      <c r="B36" s="17">
        <f t="shared" si="0"/>
        <v>70.359675595973385</v>
      </c>
      <c r="E36">
        <v>0.32957359508145601</v>
      </c>
      <c r="F36" s="22">
        <f t="shared" ref="F36:F99" si="2">E36*2+70</f>
        <v>70.659147190162912</v>
      </c>
      <c r="G36" s="22">
        <f t="shared" ref="G36:G99" si="3">E36*5+70</f>
        <v>71.64786797540728</v>
      </c>
      <c r="H36" s="22">
        <f t="shared" ref="H36:H99" si="4">E36*10+70</f>
        <v>73.29573595081456</v>
      </c>
      <c r="J36" s="18" t="s">
        <v>2</v>
      </c>
      <c r="K36" s="18">
        <v>69.836951269571728</v>
      </c>
      <c r="L36" s="18"/>
      <c r="N36" s="18" t="s">
        <v>2</v>
      </c>
      <c r="O36" s="18">
        <v>69.592378173929319</v>
      </c>
      <c r="P36" s="18"/>
      <c r="R36" s="18" t="s">
        <v>2</v>
      </c>
      <c r="S36" s="18">
        <v>69.184756347858638</v>
      </c>
    </row>
    <row r="37" spans="1:19" x14ac:dyDescent="0.25">
      <c r="A37">
        <v>0.68004624154127669</v>
      </c>
      <c r="B37" s="17">
        <f t="shared" si="0"/>
        <v>72.04013872462383</v>
      </c>
      <c r="E37">
        <v>0.24260316422441974</v>
      </c>
      <c r="F37" s="22">
        <f t="shared" si="2"/>
        <v>70.485206328448839</v>
      </c>
      <c r="G37" s="22">
        <f t="shared" si="3"/>
        <v>71.213015821122099</v>
      </c>
      <c r="H37" s="22">
        <f t="shared" si="4"/>
        <v>72.426031642244197</v>
      </c>
      <c r="J37" s="18" t="s">
        <v>33</v>
      </c>
      <c r="K37" s="18">
        <v>0.20285978281858577</v>
      </c>
      <c r="L37" s="18"/>
      <c r="N37" s="18" t="s">
        <v>33</v>
      </c>
      <c r="O37" s="18">
        <v>0.5071494570464643</v>
      </c>
      <c r="P37" s="18"/>
      <c r="R37" s="18" t="s">
        <v>33</v>
      </c>
      <c r="S37" s="18">
        <v>1.0142989140929379</v>
      </c>
    </row>
    <row r="38" spans="1:19" x14ac:dyDescent="0.25">
      <c r="A38">
        <v>0.47774506128916983</v>
      </c>
      <c r="B38" s="17">
        <f t="shared" si="0"/>
        <v>71.433235183867509</v>
      </c>
      <c r="E38">
        <v>-1.2809778127120808</v>
      </c>
      <c r="F38" s="22">
        <f t="shared" si="2"/>
        <v>67.438044374575838</v>
      </c>
      <c r="G38" s="22">
        <f t="shared" si="3"/>
        <v>63.595110936439596</v>
      </c>
      <c r="H38" s="22">
        <f t="shared" si="4"/>
        <v>57.190221872879192</v>
      </c>
      <c r="J38" s="18" t="s">
        <v>3</v>
      </c>
      <c r="K38" s="18">
        <v>69.585797922918573</v>
      </c>
      <c r="L38" s="18"/>
      <c r="N38" s="18" t="s">
        <v>3</v>
      </c>
      <c r="O38" s="18">
        <v>68.964494807296433</v>
      </c>
      <c r="P38" s="18"/>
      <c r="R38" s="18" t="s">
        <v>3</v>
      </c>
      <c r="S38" s="18">
        <v>67.928989614592865</v>
      </c>
    </row>
    <row r="39" spans="1:19" x14ac:dyDescent="0.25">
      <c r="A39">
        <v>0.15704472389188595</v>
      </c>
      <c r="B39" s="17">
        <f t="shared" si="0"/>
        <v>70.471134171675658</v>
      </c>
      <c r="E39">
        <v>0.93402377387974411</v>
      </c>
      <c r="F39" s="22">
        <f t="shared" si="2"/>
        <v>71.868047547759488</v>
      </c>
      <c r="G39" s="22">
        <f t="shared" si="3"/>
        <v>74.670118869398721</v>
      </c>
      <c r="H39" s="22">
        <f t="shared" si="4"/>
        <v>79.340237738797441</v>
      </c>
      <c r="J39" s="18" t="s">
        <v>34</v>
      </c>
      <c r="K39" s="18">
        <v>65.871694409288466</v>
      </c>
      <c r="L39" s="18"/>
      <c r="N39" s="18" t="s">
        <v>34</v>
      </c>
      <c r="O39" s="18">
        <v>59.679236023221165</v>
      </c>
      <c r="P39" s="18"/>
      <c r="R39" s="18" t="s">
        <v>34</v>
      </c>
      <c r="S39" s="18">
        <v>49.35847204644233</v>
      </c>
    </row>
    <row r="40" spans="1:19" x14ac:dyDescent="0.25">
      <c r="A40">
        <v>-3.8755842979298905E-2</v>
      </c>
      <c r="B40" s="17">
        <f t="shared" si="0"/>
        <v>69.883732471062103</v>
      </c>
      <c r="E40">
        <v>-1.3659928299603052</v>
      </c>
      <c r="F40" s="22">
        <f t="shared" si="2"/>
        <v>67.26801434007939</v>
      </c>
      <c r="G40" s="22">
        <f t="shared" si="3"/>
        <v>63.170035850198474</v>
      </c>
      <c r="H40" s="22">
        <f t="shared" si="4"/>
        <v>56.340071700396948</v>
      </c>
      <c r="J40" s="18" t="s">
        <v>35</v>
      </c>
      <c r="K40" s="18">
        <v>2.0285978281858577</v>
      </c>
      <c r="L40" s="18"/>
      <c r="N40" s="18" t="s">
        <v>35</v>
      </c>
      <c r="O40" s="18">
        <v>5.071494570464643</v>
      </c>
      <c r="P40" s="18"/>
      <c r="R40" s="18" t="s">
        <v>35</v>
      </c>
      <c r="S40" s="18">
        <v>10.14298914092938</v>
      </c>
    </row>
    <row r="41" spans="1:19" x14ac:dyDescent="0.25">
      <c r="A41">
        <v>0.83329950939514674</v>
      </c>
      <c r="B41" s="17">
        <f t="shared" si="0"/>
        <v>72.49989852818544</v>
      </c>
      <c r="E41">
        <v>-1.6186004359042272</v>
      </c>
      <c r="F41" s="22">
        <f t="shared" si="2"/>
        <v>66.762799128191546</v>
      </c>
      <c r="G41" s="22">
        <f t="shared" si="3"/>
        <v>61.906997820478864</v>
      </c>
      <c r="H41" s="22">
        <f t="shared" si="4"/>
        <v>53.813995640957728</v>
      </c>
      <c r="J41" s="18" t="s">
        <v>36</v>
      </c>
      <c r="K41" s="18">
        <v>4.1152091485203792</v>
      </c>
      <c r="L41" s="18"/>
      <c r="N41" s="18" t="s">
        <v>36</v>
      </c>
      <c r="O41" s="18">
        <v>25.72005717825235</v>
      </c>
      <c r="P41" s="18"/>
      <c r="R41" s="18" t="s">
        <v>36</v>
      </c>
      <c r="S41" s="18">
        <v>102.88022871301133</v>
      </c>
    </row>
    <row r="42" spans="1:19" x14ac:dyDescent="0.25">
      <c r="A42">
        <v>1.0518783710722346</v>
      </c>
      <c r="B42" s="17">
        <f t="shared" si="0"/>
        <v>73.155635113216704</v>
      </c>
      <c r="E42">
        <v>-0.72837565312511288</v>
      </c>
      <c r="F42" s="22">
        <f t="shared" si="2"/>
        <v>68.543248693749774</v>
      </c>
      <c r="G42" s="22">
        <f t="shared" si="3"/>
        <v>66.358121734374436</v>
      </c>
      <c r="H42" s="22">
        <f t="shared" si="4"/>
        <v>62.716243468748871</v>
      </c>
      <c r="J42" s="18" t="s">
        <v>37</v>
      </c>
      <c r="K42" s="18">
        <v>0.29993336694685624</v>
      </c>
      <c r="L42" s="18"/>
      <c r="N42" s="18" t="s">
        <v>37</v>
      </c>
      <c r="O42" s="18">
        <v>0.29993336694685846</v>
      </c>
      <c r="P42" s="18"/>
      <c r="R42" s="18" t="s">
        <v>37</v>
      </c>
      <c r="S42" s="18">
        <v>0.29993336694685846</v>
      </c>
    </row>
    <row r="43" spans="1:19" x14ac:dyDescent="0.25">
      <c r="A43">
        <v>-3.7107383832335472E-3</v>
      </c>
      <c r="B43" s="17">
        <f t="shared" si="0"/>
        <v>69.988867784850299</v>
      </c>
      <c r="E43">
        <v>1.6936337488004938</v>
      </c>
      <c r="F43" s="22">
        <f t="shared" si="2"/>
        <v>73.387267497600988</v>
      </c>
      <c r="G43" s="22">
        <f t="shared" si="3"/>
        <v>78.468168744002469</v>
      </c>
      <c r="H43" s="22">
        <f t="shared" si="4"/>
        <v>86.936337488004938</v>
      </c>
      <c r="J43" s="18" t="s">
        <v>38</v>
      </c>
      <c r="K43" s="18">
        <v>0.56978634127488814</v>
      </c>
      <c r="L43" s="18"/>
      <c r="N43" s="18" t="s">
        <v>38</v>
      </c>
      <c r="O43" s="18">
        <v>0.56978634127488859</v>
      </c>
      <c r="P43" s="18"/>
      <c r="R43" s="18" t="s">
        <v>38</v>
      </c>
      <c r="S43" s="18">
        <v>0.56978634127488859</v>
      </c>
    </row>
    <row r="44" spans="1:19" x14ac:dyDescent="0.25">
      <c r="A44">
        <v>-0.73647697718115523</v>
      </c>
      <c r="B44" s="17">
        <f t="shared" si="0"/>
        <v>67.790569068456534</v>
      </c>
      <c r="E44">
        <v>2.1753658074885607</v>
      </c>
      <c r="F44" s="22">
        <f t="shared" si="2"/>
        <v>74.350731614977121</v>
      </c>
      <c r="G44" s="22">
        <f t="shared" si="3"/>
        <v>80.876829037442803</v>
      </c>
      <c r="H44" s="22">
        <f t="shared" si="4"/>
        <v>91.753658074885607</v>
      </c>
      <c r="J44" s="18" t="s">
        <v>39</v>
      </c>
      <c r="K44" s="18">
        <v>10.236326488666236</v>
      </c>
      <c r="L44" s="18"/>
      <c r="N44" s="18" t="s">
        <v>39</v>
      </c>
      <c r="O44" s="18">
        <v>25.590816221665591</v>
      </c>
      <c r="P44" s="18"/>
      <c r="R44" s="18" t="s">
        <v>39</v>
      </c>
      <c r="S44" s="18">
        <v>51.181632443331182</v>
      </c>
    </row>
    <row r="45" spans="1:19" x14ac:dyDescent="0.25">
      <c r="A45">
        <v>-0.77909021456434857</v>
      </c>
      <c r="B45" s="17">
        <f t="shared" si="0"/>
        <v>67.662729356306954</v>
      </c>
      <c r="E45">
        <v>1.0663552529877052</v>
      </c>
      <c r="F45" s="22">
        <f t="shared" si="2"/>
        <v>72.13271050597541</v>
      </c>
      <c r="G45" s="22">
        <f t="shared" si="3"/>
        <v>75.331776264938526</v>
      </c>
      <c r="H45" s="22">
        <f t="shared" si="4"/>
        <v>80.663552529877052</v>
      </c>
      <c r="J45" s="18" t="s">
        <v>15</v>
      </c>
      <c r="K45" s="18">
        <v>65.871694409288466</v>
      </c>
      <c r="L45" s="18"/>
      <c r="N45" s="18" t="s">
        <v>15</v>
      </c>
      <c r="O45" s="18">
        <v>59.679236023221165</v>
      </c>
      <c r="P45" s="18"/>
      <c r="R45" s="18" t="s">
        <v>15</v>
      </c>
      <c r="S45" s="18">
        <v>49.35847204644233</v>
      </c>
    </row>
    <row r="46" spans="1:19" x14ac:dyDescent="0.25">
      <c r="A46">
        <v>0.38362827581295278</v>
      </c>
      <c r="B46" s="17">
        <f t="shared" si="0"/>
        <v>71.150884827438858</v>
      </c>
      <c r="E46">
        <v>-0.81194684753427282</v>
      </c>
      <c r="F46" s="22">
        <f t="shared" si="2"/>
        <v>68.376106304931454</v>
      </c>
      <c r="G46" s="22">
        <f t="shared" si="3"/>
        <v>65.940265762328636</v>
      </c>
      <c r="H46" s="22">
        <f t="shared" si="4"/>
        <v>61.880531524657272</v>
      </c>
      <c r="J46" s="18" t="s">
        <v>22</v>
      </c>
      <c r="K46" s="18">
        <v>76.108020897954702</v>
      </c>
      <c r="L46" s="18"/>
      <c r="N46" s="18" t="s">
        <v>22</v>
      </c>
      <c r="O46" s="18">
        <v>85.270052244886756</v>
      </c>
      <c r="P46" s="18"/>
      <c r="R46" s="18" t="s">
        <v>22</v>
      </c>
      <c r="S46" s="18">
        <v>100.54010448977351</v>
      </c>
    </row>
    <row r="47" spans="1:19" x14ac:dyDescent="0.25">
      <c r="A47">
        <v>0.99945282272528857</v>
      </c>
      <c r="B47" s="17">
        <f t="shared" si="0"/>
        <v>72.998358468175866</v>
      </c>
      <c r="E47">
        <v>-0.8818096830509603</v>
      </c>
      <c r="F47" s="22">
        <f t="shared" si="2"/>
        <v>68.236380633898079</v>
      </c>
      <c r="G47" s="22">
        <f t="shared" si="3"/>
        <v>65.590951584745198</v>
      </c>
      <c r="H47" s="22">
        <f t="shared" si="4"/>
        <v>61.181903169490397</v>
      </c>
      <c r="J47" s="18" t="s">
        <v>40</v>
      </c>
      <c r="K47" s="18">
        <v>6983.6951269571728</v>
      </c>
      <c r="L47" s="18"/>
      <c r="N47" s="18" t="s">
        <v>40</v>
      </c>
      <c r="O47" s="18">
        <v>6959.2378173929319</v>
      </c>
      <c r="P47" s="18"/>
      <c r="R47" s="18" t="s">
        <v>40</v>
      </c>
      <c r="S47" s="18">
        <v>6918.4756347858638</v>
      </c>
    </row>
    <row r="48" spans="1:19" ht="15.75" thickBot="1" x14ac:dyDescent="0.3">
      <c r="A48">
        <v>-0.49263235268881544</v>
      </c>
      <c r="B48" s="17">
        <f t="shared" si="0"/>
        <v>68.522102941933554</v>
      </c>
      <c r="E48">
        <v>0.9805944500840269</v>
      </c>
      <c r="F48" s="22">
        <f t="shared" si="2"/>
        <v>71.961188900168054</v>
      </c>
      <c r="G48" s="22">
        <f t="shared" si="3"/>
        <v>74.902972250420135</v>
      </c>
      <c r="H48" s="22">
        <f t="shared" si="4"/>
        <v>79.805944500840269</v>
      </c>
      <c r="J48" s="19" t="s">
        <v>41</v>
      </c>
      <c r="K48" s="19">
        <v>100</v>
      </c>
      <c r="L48" s="18"/>
      <c r="N48" s="19" t="s">
        <v>41</v>
      </c>
      <c r="O48" s="19">
        <v>100</v>
      </c>
      <c r="P48" s="18"/>
      <c r="R48" s="19" t="s">
        <v>41</v>
      </c>
      <c r="S48" s="19">
        <v>100</v>
      </c>
    </row>
    <row r="49" spans="1:20" x14ac:dyDescent="0.25">
      <c r="A49">
        <v>0.68971758082625456</v>
      </c>
      <c r="B49" s="17">
        <f t="shared" si="0"/>
        <v>72.069152742478764</v>
      </c>
      <c r="E49">
        <v>0.10434177966089919</v>
      </c>
      <c r="F49" s="22">
        <f t="shared" si="2"/>
        <v>70.208683559321798</v>
      </c>
      <c r="G49" s="22">
        <f t="shared" si="3"/>
        <v>70.521708898304496</v>
      </c>
      <c r="H49" s="22">
        <f t="shared" si="4"/>
        <v>71.043417796608992</v>
      </c>
    </row>
    <row r="50" spans="1:20" x14ac:dyDescent="0.25">
      <c r="A50">
        <v>-0.26884549697570037</v>
      </c>
      <c r="B50" s="17">
        <f t="shared" si="0"/>
        <v>69.193463509072899</v>
      </c>
      <c r="E50">
        <v>0.63260131355491467</v>
      </c>
      <c r="F50" s="22">
        <f t="shared" si="2"/>
        <v>71.265202627109829</v>
      </c>
      <c r="G50" s="22">
        <f t="shared" si="3"/>
        <v>73.163006567774573</v>
      </c>
      <c r="H50" s="22">
        <f t="shared" si="4"/>
        <v>76.326013135549147</v>
      </c>
      <c r="J50" t="s">
        <v>24</v>
      </c>
      <c r="K50">
        <f>SQRT(K48)</f>
        <v>10</v>
      </c>
      <c r="N50" t="s">
        <v>24</v>
      </c>
      <c r="O50">
        <f>SQRT(O48)</f>
        <v>10</v>
      </c>
      <c r="R50" t="s">
        <v>24</v>
      </c>
      <c r="S50">
        <f>SQRT(S48)</f>
        <v>10</v>
      </c>
    </row>
    <row r="51" spans="1:20" x14ac:dyDescent="0.25">
      <c r="A51">
        <v>-6.6487473304732703E-2</v>
      </c>
      <c r="B51" s="17">
        <f t="shared" si="0"/>
        <v>69.800537580085802</v>
      </c>
      <c r="E51">
        <v>1.7744332581060007</v>
      </c>
      <c r="F51" s="22">
        <f t="shared" si="2"/>
        <v>73.548866516212001</v>
      </c>
      <c r="G51" s="22">
        <f t="shared" si="3"/>
        <v>78.872166290530004</v>
      </c>
      <c r="H51" s="22">
        <f t="shared" si="4"/>
        <v>87.744332581060007</v>
      </c>
      <c r="J51" t="s">
        <v>16</v>
      </c>
      <c r="K51">
        <f>INT(K50)</f>
        <v>10</v>
      </c>
      <c r="N51" t="s">
        <v>16</v>
      </c>
      <c r="O51">
        <f>INT(O50)</f>
        <v>10</v>
      </c>
      <c r="R51" t="s">
        <v>16</v>
      </c>
      <c r="S51">
        <f>INT(S50)</f>
        <v>10</v>
      </c>
    </row>
    <row r="52" spans="1:20" x14ac:dyDescent="0.25">
      <c r="A52">
        <v>-2.0433617464732379</v>
      </c>
      <c r="B52" s="17">
        <f t="shared" si="0"/>
        <v>63.869914760580286</v>
      </c>
      <c r="E52">
        <v>-1.1015936252078973</v>
      </c>
      <c r="F52" s="22">
        <f t="shared" si="2"/>
        <v>67.796812749584205</v>
      </c>
      <c r="G52" s="22">
        <f t="shared" si="3"/>
        <v>64.492031873960514</v>
      </c>
      <c r="H52" s="22">
        <f t="shared" si="4"/>
        <v>58.984063747921027</v>
      </c>
      <c r="J52" t="s">
        <v>42</v>
      </c>
      <c r="K52">
        <f>(K46-K45)/(K51-1)</f>
        <v>1.137369609851804</v>
      </c>
      <c r="N52" t="s">
        <v>42</v>
      </c>
      <c r="O52">
        <f>(O46-O45)/(O51-1)</f>
        <v>2.8434240246295102</v>
      </c>
      <c r="R52" t="s">
        <v>42</v>
      </c>
      <c r="S52">
        <f>(S46-S45)/(S51-1)</f>
        <v>5.6868480492590203</v>
      </c>
    </row>
    <row r="53" spans="1:20" x14ac:dyDescent="0.25">
      <c r="A53">
        <v>-0.8685697139299009</v>
      </c>
      <c r="B53" s="17">
        <f t="shared" si="0"/>
        <v>67.394290858210297</v>
      </c>
      <c r="E53">
        <v>0.59336798585718498</v>
      </c>
      <c r="F53" s="22">
        <f t="shared" si="2"/>
        <v>71.18673597171437</v>
      </c>
      <c r="G53" s="22">
        <f t="shared" si="3"/>
        <v>72.966839929285925</v>
      </c>
      <c r="H53" s="22">
        <f t="shared" si="4"/>
        <v>75.93367985857185</v>
      </c>
    </row>
    <row r="54" spans="1:20" x14ac:dyDescent="0.25">
      <c r="A54">
        <v>-0.74251147452741861</v>
      </c>
      <c r="B54" s="17">
        <f t="shared" si="0"/>
        <v>67.772465576417744</v>
      </c>
      <c r="E54">
        <v>-0.98979171525570564</v>
      </c>
      <c r="F54" s="22">
        <f t="shared" si="2"/>
        <v>68.020416569488589</v>
      </c>
      <c r="G54" s="22">
        <f t="shared" si="3"/>
        <v>65.051041423721472</v>
      </c>
      <c r="H54" s="22">
        <f t="shared" si="4"/>
        <v>60.102082847442944</v>
      </c>
      <c r="J54" t="s">
        <v>16</v>
      </c>
      <c r="K54" t="s">
        <v>17</v>
      </c>
      <c r="L54" t="s">
        <v>43</v>
      </c>
      <c r="N54" t="s">
        <v>16</v>
      </c>
      <c r="O54" t="s">
        <v>17</v>
      </c>
      <c r="P54" t="s">
        <v>43</v>
      </c>
      <c r="R54" t="s">
        <v>16</v>
      </c>
      <c r="S54" t="s">
        <v>17</v>
      </c>
      <c r="T54" t="s">
        <v>43</v>
      </c>
    </row>
    <row r="55" spans="1:20" x14ac:dyDescent="0.25">
      <c r="A55">
        <v>2.2372660168912262</v>
      </c>
      <c r="B55" s="17">
        <f t="shared" si="0"/>
        <v>76.711798050673679</v>
      </c>
      <c r="E55">
        <v>-0.99004182629869319</v>
      </c>
      <c r="F55" s="22">
        <f t="shared" si="2"/>
        <v>68.019916347402614</v>
      </c>
      <c r="G55" s="22">
        <f t="shared" si="3"/>
        <v>65.049790868506534</v>
      </c>
      <c r="H55" s="22">
        <f t="shared" si="4"/>
        <v>60.099581737013068</v>
      </c>
      <c r="J55">
        <v>1</v>
      </c>
      <c r="K55" s="17">
        <f>($K$45-($K$52/2))+J55*$K$52</f>
        <v>66.44037921421436</v>
      </c>
      <c r="L55">
        <f t="array" ref="L55:L64">FREQUENCY(F35:F134,K55:K64)</f>
        <v>3</v>
      </c>
      <c r="N55">
        <v>1</v>
      </c>
      <c r="O55" s="17">
        <f>($O$45-($O$52/2))+N55*$O$52</f>
        <v>61.100948035535922</v>
      </c>
      <c r="P55">
        <f t="array" ref="P55:P64">FREQUENCY(G35:G134,O55:O64)</f>
        <v>3</v>
      </c>
      <c r="R55">
        <v>1</v>
      </c>
      <c r="S55" s="17">
        <f>($S$45-($S$52/2))+R55*$S$52</f>
        <v>52.201896071071836</v>
      </c>
      <c r="T55">
        <f t="array" ref="T55:T64">FREQUENCY(H35:H134,S55:S64)</f>
        <v>3</v>
      </c>
    </row>
    <row r="56" spans="1:20" x14ac:dyDescent="0.25">
      <c r="A56">
        <v>-1.815815267036669</v>
      </c>
      <c r="B56" s="17">
        <f t="shared" si="0"/>
        <v>64.552554198889993</v>
      </c>
      <c r="E56">
        <v>1.8047830963041633</v>
      </c>
      <c r="F56" s="22">
        <f t="shared" si="2"/>
        <v>73.609566192608327</v>
      </c>
      <c r="G56" s="22">
        <f t="shared" si="3"/>
        <v>79.023915481520817</v>
      </c>
      <c r="H56" s="22">
        <f t="shared" si="4"/>
        <v>88.047830963041633</v>
      </c>
      <c r="J56">
        <v>2</v>
      </c>
      <c r="K56" s="17">
        <f t="shared" ref="K56:K64" si="5">($K$45-($K$52/2))+J56*$K$52</f>
        <v>67.577748824066163</v>
      </c>
      <c r="L56">
        <v>8</v>
      </c>
      <c r="N56">
        <v>2</v>
      </c>
      <c r="O56" s="17">
        <f t="shared" ref="O56:O64" si="6">($O$45-($O$52/2))+N56*$O$52</f>
        <v>63.944372060165428</v>
      </c>
      <c r="P56">
        <v>8</v>
      </c>
      <c r="R56">
        <v>2</v>
      </c>
      <c r="S56" s="17">
        <f t="shared" ref="S56:S64" si="7">($S$45-($S$52/2))+R56*$S$52</f>
        <v>57.888744120330855</v>
      </c>
      <c r="T56">
        <v>8</v>
      </c>
    </row>
    <row r="57" spans="1:20" x14ac:dyDescent="0.25">
      <c r="A57">
        <v>0.38148755265865475</v>
      </c>
      <c r="B57" s="17">
        <f t="shared" si="0"/>
        <v>71.144462657975964</v>
      </c>
      <c r="E57">
        <v>-0.20252855392755009</v>
      </c>
      <c r="F57" s="22">
        <f t="shared" si="2"/>
        <v>69.5949428921449</v>
      </c>
      <c r="G57" s="22">
        <f t="shared" si="3"/>
        <v>68.98735723036225</v>
      </c>
      <c r="H57" s="22">
        <f t="shared" si="4"/>
        <v>67.974714460724499</v>
      </c>
      <c r="J57">
        <v>3</v>
      </c>
      <c r="K57" s="17">
        <f t="shared" si="5"/>
        <v>68.715118433917965</v>
      </c>
      <c r="L57">
        <v>24</v>
      </c>
      <c r="N57">
        <v>3</v>
      </c>
      <c r="O57" s="17">
        <f t="shared" si="6"/>
        <v>66.787796084794934</v>
      </c>
      <c r="P57">
        <v>24</v>
      </c>
      <c r="R57">
        <v>3</v>
      </c>
      <c r="S57" s="17">
        <f t="shared" si="7"/>
        <v>63.575592169589882</v>
      </c>
      <c r="T57">
        <v>24</v>
      </c>
    </row>
    <row r="58" spans="1:20" x14ac:dyDescent="0.25">
      <c r="A58">
        <v>1.1117549547634553</v>
      </c>
      <c r="B58" s="17">
        <f t="shared" si="0"/>
        <v>73.335264864290366</v>
      </c>
      <c r="E58">
        <v>-1.1117549547634553</v>
      </c>
      <c r="F58" s="22">
        <f t="shared" si="2"/>
        <v>67.776490090473089</v>
      </c>
      <c r="G58" s="22">
        <f t="shared" si="3"/>
        <v>64.441225226182723</v>
      </c>
      <c r="H58" s="22">
        <f t="shared" si="4"/>
        <v>58.882450452365447</v>
      </c>
      <c r="J58">
        <v>4</v>
      </c>
      <c r="K58" s="17">
        <f t="shared" si="5"/>
        <v>69.852488043769768</v>
      </c>
      <c r="L58">
        <v>21</v>
      </c>
      <c r="N58">
        <v>4</v>
      </c>
      <c r="O58" s="17">
        <f t="shared" si="6"/>
        <v>69.631220109424447</v>
      </c>
      <c r="P58">
        <v>21</v>
      </c>
      <c r="R58">
        <v>4</v>
      </c>
      <c r="S58" s="17">
        <f t="shared" si="7"/>
        <v>69.262440218848894</v>
      </c>
      <c r="T58">
        <v>21</v>
      </c>
    </row>
    <row r="59" spans="1:20" x14ac:dyDescent="0.25">
      <c r="A59">
        <v>0.12420741768437438</v>
      </c>
      <c r="B59" s="17">
        <f t="shared" si="0"/>
        <v>70.372622253053123</v>
      </c>
      <c r="E59">
        <v>-0.74180661613354459</v>
      </c>
      <c r="F59" s="22">
        <f t="shared" si="2"/>
        <v>68.516386767732911</v>
      </c>
      <c r="G59" s="22">
        <f t="shared" si="3"/>
        <v>66.290966919332277</v>
      </c>
      <c r="H59" s="22">
        <f t="shared" si="4"/>
        <v>62.581933838664554</v>
      </c>
      <c r="J59">
        <v>5</v>
      </c>
      <c r="K59" s="17">
        <f t="shared" si="5"/>
        <v>70.989857653621584</v>
      </c>
      <c r="L59">
        <v>15</v>
      </c>
      <c r="N59">
        <v>5</v>
      </c>
      <c r="O59" s="17">
        <f t="shared" si="6"/>
        <v>72.47464413405396</v>
      </c>
      <c r="P59">
        <v>15</v>
      </c>
      <c r="R59">
        <v>5</v>
      </c>
      <c r="S59" s="17">
        <f t="shared" si="7"/>
        <v>74.949288268107921</v>
      </c>
      <c r="T59">
        <v>15</v>
      </c>
    </row>
    <row r="60" spans="1:20" x14ac:dyDescent="0.25">
      <c r="A60">
        <v>-0.15534055819443893</v>
      </c>
      <c r="B60" s="17">
        <f t="shared" si="0"/>
        <v>69.533978325416683</v>
      </c>
      <c r="E60">
        <v>-0.49461959861218929</v>
      </c>
      <c r="F60" s="22">
        <f t="shared" si="2"/>
        <v>69.010760802775621</v>
      </c>
      <c r="G60" s="22">
        <f t="shared" si="3"/>
        <v>67.526902006939054</v>
      </c>
      <c r="H60" s="22">
        <f t="shared" si="4"/>
        <v>65.053804013878107</v>
      </c>
      <c r="J60">
        <v>6</v>
      </c>
      <c r="K60" s="17">
        <f t="shared" si="5"/>
        <v>72.127227263473387</v>
      </c>
      <c r="L60">
        <v>17</v>
      </c>
      <c r="N60">
        <v>6</v>
      </c>
      <c r="O60" s="17">
        <f t="shared" si="6"/>
        <v>75.318068158683474</v>
      </c>
      <c r="P60">
        <v>17</v>
      </c>
      <c r="R60">
        <v>6</v>
      </c>
      <c r="S60" s="17">
        <f t="shared" si="7"/>
        <v>80.636136317366947</v>
      </c>
      <c r="T60">
        <v>17</v>
      </c>
    </row>
    <row r="61" spans="1:20" x14ac:dyDescent="0.25">
      <c r="A61">
        <v>0.29455463845806662</v>
      </c>
      <c r="B61" s="17">
        <f t="shared" si="0"/>
        <v>70.8836639153742</v>
      </c>
      <c r="E61">
        <v>-0.75262732934788801</v>
      </c>
      <c r="F61" s="22">
        <f t="shared" si="2"/>
        <v>68.494745341304224</v>
      </c>
      <c r="G61" s="22">
        <f t="shared" si="3"/>
        <v>66.23686335326056</v>
      </c>
      <c r="H61" s="22">
        <f t="shared" si="4"/>
        <v>62.47372670652112</v>
      </c>
      <c r="J61">
        <v>7</v>
      </c>
      <c r="K61" s="17">
        <f t="shared" si="5"/>
        <v>73.264596873325189</v>
      </c>
      <c r="L61">
        <v>6</v>
      </c>
      <c r="N61">
        <v>7</v>
      </c>
      <c r="O61" s="17">
        <f t="shared" si="6"/>
        <v>78.161492183312987</v>
      </c>
      <c r="P61">
        <v>6</v>
      </c>
      <c r="R61">
        <v>7</v>
      </c>
      <c r="S61" s="17">
        <f t="shared" si="7"/>
        <v>86.32298436662596</v>
      </c>
      <c r="T61">
        <v>6</v>
      </c>
    </row>
    <row r="62" spans="1:20" x14ac:dyDescent="0.25">
      <c r="A62">
        <v>-1.3447197488858365</v>
      </c>
      <c r="B62" s="17">
        <f t="shared" si="0"/>
        <v>65.965840753342491</v>
      </c>
      <c r="E62">
        <v>0.524848928762367</v>
      </c>
      <c r="F62" s="22">
        <f t="shared" si="2"/>
        <v>71.049697857524734</v>
      </c>
      <c r="G62" s="22">
        <f t="shared" si="3"/>
        <v>72.624244643811835</v>
      </c>
      <c r="H62" s="22">
        <f t="shared" si="4"/>
        <v>75.24848928762367</v>
      </c>
      <c r="J62">
        <v>8</v>
      </c>
      <c r="K62" s="17">
        <f t="shared" si="5"/>
        <v>74.401966483176992</v>
      </c>
      <c r="L62">
        <v>4</v>
      </c>
      <c r="N62">
        <v>8</v>
      </c>
      <c r="O62" s="17">
        <f t="shared" si="6"/>
        <v>81.004916207942486</v>
      </c>
      <c r="P62">
        <v>4</v>
      </c>
      <c r="R62">
        <v>8</v>
      </c>
      <c r="S62" s="17">
        <f t="shared" si="7"/>
        <v>92.009832415884972</v>
      </c>
      <c r="T62">
        <v>4</v>
      </c>
    </row>
    <row r="63" spans="1:20" x14ac:dyDescent="0.25">
      <c r="A63">
        <v>8.6513409769395366E-2</v>
      </c>
      <c r="B63" s="17">
        <f t="shared" si="0"/>
        <v>70.259540229308186</v>
      </c>
      <c r="E63">
        <v>-2.064152795355767</v>
      </c>
      <c r="F63" s="22">
        <f t="shared" si="2"/>
        <v>65.871694409288466</v>
      </c>
      <c r="G63" s="22">
        <f t="shared" si="3"/>
        <v>59.679236023221165</v>
      </c>
      <c r="H63" s="22">
        <f t="shared" si="4"/>
        <v>49.35847204644233</v>
      </c>
      <c r="J63">
        <v>9</v>
      </c>
      <c r="K63" s="17">
        <f t="shared" si="5"/>
        <v>75.539336093028794</v>
      </c>
      <c r="L63">
        <v>1</v>
      </c>
      <c r="N63">
        <v>9</v>
      </c>
      <c r="O63" s="17">
        <f t="shared" si="6"/>
        <v>83.848340232571999</v>
      </c>
      <c r="P63">
        <v>1</v>
      </c>
      <c r="R63">
        <v>9</v>
      </c>
      <c r="S63" s="17">
        <f t="shared" si="7"/>
        <v>97.696680465143999</v>
      </c>
      <c r="T63">
        <v>1</v>
      </c>
    </row>
    <row r="64" spans="1:20" x14ac:dyDescent="0.25">
      <c r="A64">
        <v>-0.1276771399716381</v>
      </c>
      <c r="B64" s="17">
        <f t="shared" si="0"/>
        <v>69.616968580085086</v>
      </c>
      <c r="E64">
        <v>-1.1600218385865446</v>
      </c>
      <c r="F64" s="22">
        <f t="shared" si="2"/>
        <v>67.679956322826911</v>
      </c>
      <c r="G64" s="22">
        <f t="shared" si="3"/>
        <v>64.199890807067277</v>
      </c>
      <c r="H64" s="22">
        <f t="shared" si="4"/>
        <v>58.399781614134554</v>
      </c>
      <c r="J64">
        <v>10</v>
      </c>
      <c r="K64" s="17">
        <f t="shared" si="5"/>
        <v>76.676705702880597</v>
      </c>
      <c r="L64">
        <v>1</v>
      </c>
      <c r="N64">
        <v>10</v>
      </c>
      <c r="O64" s="17">
        <f t="shared" si="6"/>
        <v>86.691764257201513</v>
      </c>
      <c r="P64">
        <v>1</v>
      </c>
      <c r="R64">
        <v>10</v>
      </c>
      <c r="S64" s="17">
        <f t="shared" si="7"/>
        <v>103.38352851440303</v>
      </c>
      <c r="T64">
        <v>1</v>
      </c>
    </row>
    <row r="65" spans="1:8" x14ac:dyDescent="0.25">
      <c r="A65">
        <v>1.3630824469146319</v>
      </c>
      <c r="B65" s="17">
        <f t="shared" si="0"/>
        <v>74.089247340743896</v>
      </c>
      <c r="E65">
        <v>-0.63746824707777705</v>
      </c>
      <c r="F65" s="22">
        <f t="shared" si="2"/>
        <v>68.725063505844446</v>
      </c>
      <c r="G65" s="22">
        <f t="shared" si="3"/>
        <v>66.812658764611115</v>
      </c>
      <c r="H65" s="22">
        <f t="shared" si="4"/>
        <v>63.625317529222229</v>
      </c>
    </row>
    <row r="66" spans="1:8" x14ac:dyDescent="0.25">
      <c r="A66">
        <v>4.8097490434884094E-2</v>
      </c>
      <c r="B66" s="17">
        <f t="shared" si="0"/>
        <v>70.144292471304652</v>
      </c>
      <c r="E66">
        <v>-1.3161729839339387</v>
      </c>
      <c r="F66" s="22">
        <f t="shared" si="2"/>
        <v>67.367654032132123</v>
      </c>
      <c r="G66" s="22">
        <f t="shared" si="3"/>
        <v>63.419135080330307</v>
      </c>
      <c r="H66" s="22">
        <f t="shared" si="4"/>
        <v>56.838270160660613</v>
      </c>
    </row>
    <row r="67" spans="1:8" x14ac:dyDescent="0.25">
      <c r="A67">
        <v>-0.43268642002658453</v>
      </c>
      <c r="B67" s="17">
        <f t="shared" si="0"/>
        <v>68.701940739920246</v>
      </c>
      <c r="E67">
        <v>0.15061914382386021</v>
      </c>
      <c r="F67" s="22">
        <f t="shared" si="2"/>
        <v>70.30123828764772</v>
      </c>
      <c r="G67" s="22">
        <f t="shared" si="3"/>
        <v>70.753095719119301</v>
      </c>
      <c r="H67" s="22">
        <f t="shared" si="4"/>
        <v>71.506191438238602</v>
      </c>
    </row>
    <row r="68" spans="1:8" x14ac:dyDescent="0.25">
      <c r="A68">
        <v>0.31089257390704006</v>
      </c>
      <c r="B68" s="17">
        <f t="shared" si="0"/>
        <v>70.93267772172112</v>
      </c>
      <c r="E68">
        <v>0.38585199035878759</v>
      </c>
      <c r="F68" s="22">
        <f t="shared" si="2"/>
        <v>70.771703980717575</v>
      </c>
      <c r="G68" s="22">
        <f t="shared" si="3"/>
        <v>71.929259951793938</v>
      </c>
      <c r="H68" s="22">
        <f t="shared" si="4"/>
        <v>73.858519903587876</v>
      </c>
    </row>
    <row r="69" spans="1:8" x14ac:dyDescent="0.25">
      <c r="A69">
        <v>-0.83200120570836589</v>
      </c>
      <c r="B69" s="17">
        <f t="shared" si="0"/>
        <v>67.503996382874902</v>
      </c>
      <c r="E69">
        <v>-0.54639258451061323</v>
      </c>
      <c r="F69" s="22">
        <f t="shared" si="2"/>
        <v>68.907214830978774</v>
      </c>
      <c r="G69" s="22">
        <f t="shared" si="3"/>
        <v>67.268037077446934</v>
      </c>
      <c r="H69" s="22">
        <f t="shared" si="4"/>
        <v>64.536074154893868</v>
      </c>
    </row>
    <row r="70" spans="1:8" x14ac:dyDescent="0.25">
      <c r="A70">
        <v>0.52274231165938545</v>
      </c>
      <c r="B70" s="17">
        <f t="shared" si="0"/>
        <v>71.568226934978156</v>
      </c>
      <c r="E70">
        <v>2.7137139113619924</v>
      </c>
      <c r="F70" s="22">
        <f t="shared" si="2"/>
        <v>75.427427822723985</v>
      </c>
      <c r="G70" s="22">
        <f t="shared" si="3"/>
        <v>83.568569556809962</v>
      </c>
      <c r="H70" s="22">
        <f t="shared" si="4"/>
        <v>97.137139113619924</v>
      </c>
    </row>
    <row r="71" spans="1:8" x14ac:dyDescent="0.25">
      <c r="A71">
        <v>-0.71655676947557367</v>
      </c>
      <c r="B71" s="17">
        <f t="shared" si="0"/>
        <v>67.850329691573279</v>
      </c>
      <c r="E71">
        <v>-0.30688056540384423</v>
      </c>
      <c r="F71" s="22">
        <f t="shared" si="2"/>
        <v>69.386238869192312</v>
      </c>
      <c r="G71" s="22">
        <f t="shared" si="3"/>
        <v>68.465597172980779</v>
      </c>
      <c r="H71" s="22">
        <f t="shared" si="4"/>
        <v>66.931194345961558</v>
      </c>
    </row>
    <row r="72" spans="1:8" x14ac:dyDescent="0.25">
      <c r="A72">
        <v>0.88192109615192749</v>
      </c>
      <c r="B72" s="17">
        <f t="shared" si="0"/>
        <v>72.645763288455782</v>
      </c>
      <c r="E72">
        <v>-1.4061743058846332</v>
      </c>
      <c r="F72" s="22">
        <f t="shared" si="2"/>
        <v>67.187651388230734</v>
      </c>
      <c r="G72" s="22">
        <f t="shared" si="3"/>
        <v>62.969128470576834</v>
      </c>
      <c r="H72" s="22">
        <f t="shared" si="4"/>
        <v>55.938256941153668</v>
      </c>
    </row>
    <row r="73" spans="1:8" x14ac:dyDescent="0.25">
      <c r="A73">
        <v>-0.76630385592579842</v>
      </c>
      <c r="B73" s="17">
        <f t="shared" si="0"/>
        <v>67.701088432222605</v>
      </c>
      <c r="E73">
        <v>1.446144324290799</v>
      </c>
      <c r="F73" s="22">
        <f t="shared" si="2"/>
        <v>72.892288648581598</v>
      </c>
      <c r="G73" s="22">
        <f t="shared" si="3"/>
        <v>77.230721621453995</v>
      </c>
      <c r="H73" s="22">
        <f t="shared" si="4"/>
        <v>84.46144324290799</v>
      </c>
    </row>
    <row r="74" spans="1:8" x14ac:dyDescent="0.25">
      <c r="A74">
        <v>-2.2972017177380621</v>
      </c>
      <c r="B74" s="17">
        <f t="shared" ref="B74:B108" si="8">3*A74+70</f>
        <v>63.108394846785814</v>
      </c>
      <c r="E74">
        <v>0.16417402548540849</v>
      </c>
      <c r="F74" s="22">
        <f t="shared" si="2"/>
        <v>70.328348050970817</v>
      </c>
      <c r="G74" s="22">
        <f t="shared" si="3"/>
        <v>70.820870127427042</v>
      </c>
      <c r="H74" s="22">
        <f t="shared" si="4"/>
        <v>71.641740254854085</v>
      </c>
    </row>
    <row r="75" spans="1:8" x14ac:dyDescent="0.25">
      <c r="A75">
        <v>0.90138883024337701</v>
      </c>
      <c r="B75" s="17">
        <f t="shared" si="8"/>
        <v>72.704166490730131</v>
      </c>
      <c r="E75">
        <v>0.14566921890946105</v>
      </c>
      <c r="F75" s="22">
        <f t="shared" si="2"/>
        <v>70.291338437818922</v>
      </c>
      <c r="G75" s="22">
        <f t="shared" si="3"/>
        <v>70.728346094547305</v>
      </c>
      <c r="H75" s="22">
        <f t="shared" si="4"/>
        <v>71.456692189094611</v>
      </c>
    </row>
    <row r="76" spans="1:8" x14ac:dyDescent="0.25">
      <c r="A76">
        <v>0.45175170271249954</v>
      </c>
      <c r="B76" s="17">
        <f t="shared" si="8"/>
        <v>71.355255108137499</v>
      </c>
      <c r="E76">
        <v>-2.064152795355767</v>
      </c>
      <c r="F76" s="22">
        <f t="shared" si="2"/>
        <v>65.871694409288466</v>
      </c>
      <c r="G76" s="22">
        <f t="shared" si="3"/>
        <v>59.679236023221165</v>
      </c>
      <c r="H76" s="22">
        <f t="shared" si="4"/>
        <v>49.35847204644233</v>
      </c>
    </row>
    <row r="77" spans="1:8" x14ac:dyDescent="0.25">
      <c r="A77">
        <v>-0.25420035854040179</v>
      </c>
      <c r="B77" s="17">
        <f t="shared" si="8"/>
        <v>69.237398924378795</v>
      </c>
      <c r="E77">
        <v>-0.52090172175667249</v>
      </c>
      <c r="F77" s="22">
        <f t="shared" si="2"/>
        <v>68.958196556486655</v>
      </c>
      <c r="G77" s="22">
        <f t="shared" si="3"/>
        <v>67.395491391216638</v>
      </c>
      <c r="H77" s="22">
        <f t="shared" si="4"/>
        <v>64.790982782433275</v>
      </c>
    </row>
    <row r="78" spans="1:8" x14ac:dyDescent="0.25">
      <c r="A78">
        <v>-0.10572648534434848</v>
      </c>
      <c r="B78" s="17">
        <f t="shared" si="8"/>
        <v>69.682820543966955</v>
      </c>
      <c r="E78">
        <v>3.0540104489773512</v>
      </c>
      <c r="F78" s="22">
        <f t="shared" si="2"/>
        <v>76.108020897954702</v>
      </c>
      <c r="G78" s="22">
        <f t="shared" si="3"/>
        <v>85.270052244886756</v>
      </c>
      <c r="H78" s="22">
        <f t="shared" si="4"/>
        <v>100.54010448977351</v>
      </c>
    </row>
    <row r="79" spans="1:8" x14ac:dyDescent="0.25">
      <c r="A79">
        <v>0.47585899665136822</v>
      </c>
      <c r="B79" s="17">
        <f t="shared" si="8"/>
        <v>71.427576989954105</v>
      </c>
      <c r="E79">
        <v>-1.0350004231440835</v>
      </c>
      <c r="F79" s="22">
        <f t="shared" si="2"/>
        <v>67.929999153711833</v>
      </c>
      <c r="G79" s="22">
        <f t="shared" si="3"/>
        <v>64.824997884279583</v>
      </c>
      <c r="H79" s="22">
        <f t="shared" si="4"/>
        <v>59.649995768559165</v>
      </c>
    </row>
    <row r="80" spans="1:8" x14ac:dyDescent="0.25">
      <c r="A80">
        <v>3.3152173273265362</v>
      </c>
      <c r="B80" s="17">
        <f t="shared" si="8"/>
        <v>79.945651981979609</v>
      </c>
      <c r="E80">
        <v>1.0155918062082492</v>
      </c>
      <c r="F80" s="22">
        <f t="shared" si="2"/>
        <v>72.031183612416498</v>
      </c>
      <c r="G80" s="22">
        <f t="shared" si="3"/>
        <v>75.077959031041246</v>
      </c>
      <c r="H80" s="22">
        <f t="shared" si="4"/>
        <v>80.155918062082492</v>
      </c>
    </row>
    <row r="81" spans="1:8" x14ac:dyDescent="0.25">
      <c r="A81">
        <v>-2.8711656341329217</v>
      </c>
      <c r="B81" s="17">
        <f t="shared" si="8"/>
        <v>61.386503097601235</v>
      </c>
      <c r="E81">
        <v>-0.96927578852046281</v>
      </c>
      <c r="F81" s="22">
        <f t="shared" si="2"/>
        <v>68.061448422959074</v>
      </c>
      <c r="G81" s="22">
        <f t="shared" si="3"/>
        <v>65.153621057397686</v>
      </c>
      <c r="H81" s="22">
        <f t="shared" si="4"/>
        <v>60.307242114795372</v>
      </c>
    </row>
    <row r="82" spans="1:8" x14ac:dyDescent="0.25">
      <c r="A82">
        <v>1.0612347978167236</v>
      </c>
      <c r="B82" s="17">
        <f t="shared" si="8"/>
        <v>73.183704393450171</v>
      </c>
      <c r="E82">
        <v>1.4584429663955234</v>
      </c>
      <c r="F82" s="22">
        <f t="shared" si="2"/>
        <v>72.916885932791047</v>
      </c>
      <c r="G82" s="22">
        <f t="shared" si="3"/>
        <v>77.292214831977617</v>
      </c>
      <c r="H82" s="22">
        <f t="shared" si="4"/>
        <v>84.584429663955234</v>
      </c>
    </row>
    <row r="83" spans="1:8" x14ac:dyDescent="0.25">
      <c r="A83">
        <v>-1.587363840371836</v>
      </c>
      <c r="B83" s="17">
        <f t="shared" si="8"/>
        <v>65.237908478884492</v>
      </c>
      <c r="E83">
        <v>-1.0525423022045288</v>
      </c>
      <c r="F83" s="22">
        <f t="shared" si="2"/>
        <v>67.894915395590942</v>
      </c>
      <c r="G83" s="22">
        <f t="shared" si="3"/>
        <v>64.737288488977356</v>
      </c>
      <c r="H83" s="22">
        <f t="shared" si="4"/>
        <v>59.474576977954712</v>
      </c>
    </row>
    <row r="84" spans="1:8" x14ac:dyDescent="0.25">
      <c r="A84">
        <v>0.34398567549942527</v>
      </c>
      <c r="B84" s="17">
        <f t="shared" si="8"/>
        <v>71.031957026498276</v>
      </c>
      <c r="E84">
        <v>-0.12582631825353019</v>
      </c>
      <c r="F84" s="22">
        <f t="shared" si="2"/>
        <v>69.74834736349294</v>
      </c>
      <c r="G84" s="22">
        <f t="shared" si="3"/>
        <v>69.370868408732349</v>
      </c>
      <c r="H84" s="22">
        <f t="shared" si="4"/>
        <v>68.741736817464698</v>
      </c>
    </row>
    <row r="85" spans="1:8" x14ac:dyDescent="0.25">
      <c r="A85">
        <v>-8.3518898463808E-2</v>
      </c>
      <c r="B85" s="17">
        <f t="shared" si="8"/>
        <v>69.749443304608576</v>
      </c>
      <c r="E85">
        <v>0.69136831370997243</v>
      </c>
      <c r="F85" s="22">
        <f t="shared" si="2"/>
        <v>71.382736627419945</v>
      </c>
      <c r="G85" s="22">
        <f t="shared" si="3"/>
        <v>73.456841568549862</v>
      </c>
      <c r="H85" s="22">
        <f t="shared" si="4"/>
        <v>76.913683137099724</v>
      </c>
    </row>
    <row r="86" spans="1:8" x14ac:dyDescent="0.25">
      <c r="A86">
        <v>-0.13083990779705346</v>
      </c>
      <c r="B86" s="17">
        <f t="shared" si="8"/>
        <v>69.60748027660884</v>
      </c>
      <c r="E86">
        <v>-0.24157884581654798</v>
      </c>
      <c r="F86" s="22">
        <f t="shared" si="2"/>
        <v>69.516842308366904</v>
      </c>
      <c r="G86" s="22">
        <f t="shared" si="3"/>
        <v>68.79210577091726</v>
      </c>
      <c r="H86" s="22">
        <f t="shared" si="4"/>
        <v>67.58421154183452</v>
      </c>
    </row>
    <row r="87" spans="1:8" x14ac:dyDescent="0.25">
      <c r="A87">
        <v>-1.830730980145745</v>
      </c>
      <c r="B87" s="17">
        <f t="shared" si="8"/>
        <v>64.507807059562765</v>
      </c>
      <c r="E87">
        <v>0.29911234378232621</v>
      </c>
      <c r="F87" s="22">
        <f t="shared" si="2"/>
        <v>70.598224687564652</v>
      </c>
      <c r="G87" s="22">
        <f t="shared" si="3"/>
        <v>71.495561718911631</v>
      </c>
      <c r="H87" s="22">
        <f t="shared" si="4"/>
        <v>72.991123437823262</v>
      </c>
    </row>
    <row r="88" spans="1:8" x14ac:dyDescent="0.25">
      <c r="A88">
        <v>-0.52011273510288447</v>
      </c>
      <c r="B88" s="17">
        <f t="shared" si="8"/>
        <v>68.439661794691347</v>
      </c>
      <c r="E88">
        <v>-0.1874036570370663</v>
      </c>
      <c r="F88" s="22">
        <f t="shared" si="2"/>
        <v>69.625192685925867</v>
      </c>
      <c r="G88" s="22">
        <f t="shared" si="3"/>
        <v>69.062981714814669</v>
      </c>
      <c r="H88" s="22">
        <f t="shared" si="4"/>
        <v>68.125963429629337</v>
      </c>
    </row>
    <row r="89" spans="1:8" x14ac:dyDescent="0.25">
      <c r="A89">
        <v>-1.3728322301176377</v>
      </c>
      <c r="B89" s="17">
        <f t="shared" si="8"/>
        <v>65.881503309647087</v>
      </c>
      <c r="E89">
        <v>-0.32602201827103272</v>
      </c>
      <c r="F89" s="22">
        <f t="shared" si="2"/>
        <v>69.347955963457935</v>
      </c>
      <c r="G89" s="22">
        <f t="shared" si="3"/>
        <v>68.369889908644836</v>
      </c>
      <c r="H89" s="22">
        <f t="shared" si="4"/>
        <v>66.739779817289673</v>
      </c>
    </row>
    <row r="90" spans="1:8" x14ac:dyDescent="0.25">
      <c r="A90">
        <v>-2.9265265766298398E-2</v>
      </c>
      <c r="B90" s="17">
        <f t="shared" si="8"/>
        <v>69.912204202701105</v>
      </c>
      <c r="E90">
        <v>0.78178800322348252</v>
      </c>
      <c r="F90" s="22">
        <f t="shared" si="2"/>
        <v>71.563576006446965</v>
      </c>
      <c r="G90" s="22">
        <f t="shared" si="3"/>
        <v>73.908940016117413</v>
      </c>
      <c r="H90" s="22">
        <f t="shared" si="4"/>
        <v>77.817880032234825</v>
      </c>
    </row>
    <row r="91" spans="1:8" x14ac:dyDescent="0.25">
      <c r="A91">
        <v>1.9055914890486747</v>
      </c>
      <c r="B91" s="17">
        <f t="shared" si="8"/>
        <v>75.716774467146024</v>
      </c>
      <c r="E91">
        <v>-0.79914343587006442</v>
      </c>
      <c r="F91" s="22">
        <f t="shared" si="2"/>
        <v>68.401713128259871</v>
      </c>
      <c r="G91" s="22">
        <f t="shared" si="3"/>
        <v>66.004282820649678</v>
      </c>
      <c r="H91" s="22">
        <f t="shared" si="4"/>
        <v>62.008565641299356</v>
      </c>
    </row>
    <row r="92" spans="1:8" x14ac:dyDescent="0.25">
      <c r="A92">
        <v>-1.4232364264898933</v>
      </c>
      <c r="B92" s="17">
        <f t="shared" si="8"/>
        <v>65.73029072053032</v>
      </c>
      <c r="E92">
        <v>-0.82048700278392062</v>
      </c>
      <c r="F92" s="22">
        <f t="shared" si="2"/>
        <v>68.359025994432159</v>
      </c>
      <c r="G92" s="22">
        <f t="shared" si="3"/>
        <v>65.897564986080397</v>
      </c>
      <c r="H92" s="22">
        <f t="shared" si="4"/>
        <v>61.795129972160794</v>
      </c>
    </row>
    <row r="93" spans="1:8" x14ac:dyDescent="0.25">
      <c r="A93">
        <v>0.48066226554510649</v>
      </c>
      <c r="B93" s="17">
        <f t="shared" si="8"/>
        <v>71.441986796635319</v>
      </c>
      <c r="E93">
        <v>-1.3807266441290267</v>
      </c>
      <c r="F93" s="22">
        <f t="shared" si="2"/>
        <v>67.238546711741947</v>
      </c>
      <c r="G93" s="22">
        <f t="shared" si="3"/>
        <v>63.096366779354867</v>
      </c>
      <c r="H93" s="22">
        <f t="shared" si="4"/>
        <v>56.192733558709733</v>
      </c>
    </row>
    <row r="94" spans="1:8" x14ac:dyDescent="0.25">
      <c r="A94">
        <v>0.89943796410807408</v>
      </c>
      <c r="B94" s="17">
        <f t="shared" si="8"/>
        <v>72.698313892324222</v>
      </c>
      <c r="E94">
        <v>-0.64696450863266364</v>
      </c>
      <c r="F94" s="22">
        <f t="shared" si="2"/>
        <v>68.706070982734673</v>
      </c>
      <c r="G94" s="22">
        <f t="shared" si="3"/>
        <v>66.765177456836682</v>
      </c>
      <c r="H94" s="22">
        <f t="shared" si="4"/>
        <v>63.530354913673364</v>
      </c>
    </row>
    <row r="95" spans="1:8" x14ac:dyDescent="0.25">
      <c r="A95">
        <v>1.2022792361676693</v>
      </c>
      <c r="B95" s="17">
        <f t="shared" si="8"/>
        <v>73.606837708503008</v>
      </c>
      <c r="E95">
        <v>0.38453435990959406</v>
      </c>
      <c r="F95" s="22">
        <f t="shared" si="2"/>
        <v>70.769068719819188</v>
      </c>
      <c r="G95" s="22">
        <f t="shared" si="3"/>
        <v>71.92267179954797</v>
      </c>
      <c r="H95" s="22">
        <f t="shared" si="4"/>
        <v>73.845343599095941</v>
      </c>
    </row>
    <row r="96" spans="1:8" x14ac:dyDescent="0.25">
      <c r="A96">
        <v>0.92307573140715249</v>
      </c>
      <c r="B96" s="17">
        <f t="shared" si="8"/>
        <v>72.769227194221457</v>
      </c>
      <c r="E96">
        <v>-0.82682163338176906</v>
      </c>
      <c r="F96" s="22">
        <f t="shared" si="2"/>
        <v>68.346356733236462</v>
      </c>
      <c r="G96" s="22">
        <f t="shared" si="3"/>
        <v>65.865891833091155</v>
      </c>
      <c r="H96" s="22">
        <f t="shared" si="4"/>
        <v>61.731783666182309</v>
      </c>
    </row>
    <row r="97" spans="1:8" x14ac:dyDescent="0.25">
      <c r="A97">
        <v>-7.0705254984204657E-2</v>
      </c>
      <c r="B97" s="17">
        <f t="shared" si="8"/>
        <v>69.787884235047386</v>
      </c>
      <c r="E97">
        <v>-0.17286424736084882</v>
      </c>
      <c r="F97" s="22">
        <f t="shared" si="2"/>
        <v>69.654271505278302</v>
      </c>
      <c r="G97" s="22">
        <f t="shared" si="3"/>
        <v>69.135678763195756</v>
      </c>
      <c r="H97" s="22">
        <f t="shared" si="4"/>
        <v>68.271357526391512</v>
      </c>
    </row>
    <row r="98" spans="1:8" x14ac:dyDescent="0.25">
      <c r="A98">
        <v>1.6968533600447699</v>
      </c>
      <c r="B98" s="17">
        <f t="shared" si="8"/>
        <v>75.09056008013431</v>
      </c>
      <c r="E98">
        <v>-0.35129914977005683</v>
      </c>
      <c r="F98" s="22">
        <f t="shared" si="2"/>
        <v>69.297401700459886</v>
      </c>
      <c r="G98" s="22">
        <f t="shared" si="3"/>
        <v>68.243504251149716</v>
      </c>
      <c r="H98" s="22">
        <f t="shared" si="4"/>
        <v>66.487008502299432</v>
      </c>
    </row>
    <row r="99" spans="1:8" x14ac:dyDescent="0.25">
      <c r="A99">
        <v>-0.61005493989796378</v>
      </c>
      <c r="B99" s="17">
        <f t="shared" si="8"/>
        <v>68.169835180306109</v>
      </c>
      <c r="E99">
        <v>-0.3161153472319711</v>
      </c>
      <c r="F99" s="22">
        <f t="shared" si="2"/>
        <v>69.367769305536058</v>
      </c>
      <c r="G99" s="22">
        <f t="shared" si="3"/>
        <v>68.419423263840145</v>
      </c>
      <c r="H99" s="22">
        <f t="shared" si="4"/>
        <v>66.838846527680289</v>
      </c>
    </row>
    <row r="100" spans="1:8" x14ac:dyDescent="0.25">
      <c r="A100">
        <v>-0.42756823859235737</v>
      </c>
      <c r="B100" s="17">
        <f t="shared" si="8"/>
        <v>68.717295284222928</v>
      </c>
      <c r="E100">
        <v>-5.8516889112070203E-2</v>
      </c>
      <c r="F100" s="22">
        <f t="shared" ref="F100:F134" si="9">E100*2+70</f>
        <v>69.88296622177586</v>
      </c>
      <c r="G100" s="22">
        <f t="shared" ref="G100:G134" si="10">E100*5+70</f>
        <v>69.707415554439649</v>
      </c>
      <c r="H100" s="22">
        <f t="shared" ref="H100:H134" si="11">E100*10+70</f>
        <v>69.414831108879298</v>
      </c>
    </row>
    <row r="101" spans="1:8" x14ac:dyDescent="0.25">
      <c r="A101">
        <v>0.48633637561579235</v>
      </c>
      <c r="B101" s="17">
        <f t="shared" si="8"/>
        <v>71.459009126847377</v>
      </c>
      <c r="E101">
        <v>0.16867261365405284</v>
      </c>
      <c r="F101" s="22">
        <f t="shared" si="9"/>
        <v>70.337345227308106</v>
      </c>
      <c r="G101" s="22">
        <f t="shared" si="10"/>
        <v>70.843363068270264</v>
      </c>
      <c r="H101" s="22">
        <f t="shared" si="11"/>
        <v>71.686726136540528</v>
      </c>
    </row>
    <row r="102" spans="1:8" x14ac:dyDescent="0.25">
      <c r="A102">
        <v>0.75404841481940821</v>
      </c>
      <c r="B102" s="17">
        <f t="shared" si="8"/>
        <v>72.262145244458225</v>
      </c>
      <c r="E102">
        <v>-0.92765276349382475</v>
      </c>
      <c r="F102" s="22">
        <f t="shared" si="9"/>
        <v>68.14469447301235</v>
      </c>
      <c r="G102" s="22">
        <f t="shared" si="10"/>
        <v>65.361736182530876</v>
      </c>
      <c r="H102" s="22">
        <f t="shared" si="11"/>
        <v>60.723472365061752</v>
      </c>
    </row>
    <row r="103" spans="1:8" x14ac:dyDescent="0.25">
      <c r="A103">
        <v>-0.64743517214083113</v>
      </c>
      <c r="B103" s="17">
        <f t="shared" si="8"/>
        <v>68.057694483577507</v>
      </c>
      <c r="E103">
        <v>-1.8727860151557252</v>
      </c>
      <c r="F103" s="22">
        <f t="shared" si="9"/>
        <v>66.25442796968855</v>
      </c>
      <c r="G103" s="22">
        <f t="shared" si="10"/>
        <v>60.636069924221374</v>
      </c>
      <c r="H103" s="22">
        <f t="shared" si="11"/>
        <v>51.272139848442748</v>
      </c>
    </row>
    <row r="104" spans="1:8" x14ac:dyDescent="0.25">
      <c r="A104">
        <v>4.8097490434884094E-2</v>
      </c>
      <c r="B104" s="17">
        <f t="shared" si="8"/>
        <v>70.144292471304652</v>
      </c>
      <c r="E104">
        <v>1.5772002370795235</v>
      </c>
      <c r="F104" s="22">
        <f t="shared" si="9"/>
        <v>73.154400474159047</v>
      </c>
      <c r="G104" s="22">
        <f t="shared" si="10"/>
        <v>77.886001185397618</v>
      </c>
      <c r="H104" s="22">
        <f t="shared" si="11"/>
        <v>85.772002370795235</v>
      </c>
    </row>
    <row r="105" spans="1:8" x14ac:dyDescent="0.25">
      <c r="A105">
        <v>-0.73979208536911756</v>
      </c>
      <c r="B105" s="17">
        <f t="shared" si="8"/>
        <v>67.780623743892647</v>
      </c>
      <c r="E105">
        <v>0.57621491578174755</v>
      </c>
      <c r="F105" s="22">
        <f t="shared" si="9"/>
        <v>71.152429831563495</v>
      </c>
      <c r="G105" s="22">
        <f t="shared" si="10"/>
        <v>72.881074578908738</v>
      </c>
      <c r="H105" s="22">
        <f t="shared" si="11"/>
        <v>75.762149157817475</v>
      </c>
    </row>
    <row r="106" spans="1:8" x14ac:dyDescent="0.25">
      <c r="A106">
        <v>-0.73607679951237515</v>
      </c>
      <c r="B106" s="17">
        <f t="shared" si="8"/>
        <v>67.791769601462875</v>
      </c>
      <c r="E106">
        <v>0.16324293028446846</v>
      </c>
      <c r="F106" s="22">
        <f t="shared" si="9"/>
        <v>70.326485860568937</v>
      </c>
      <c r="G106" s="22">
        <f t="shared" si="10"/>
        <v>70.816214651422342</v>
      </c>
      <c r="H106" s="22">
        <f t="shared" si="11"/>
        <v>71.632429302844685</v>
      </c>
    </row>
    <row r="107" spans="1:8" x14ac:dyDescent="0.25">
      <c r="A107">
        <v>6.0822458181064576E-3</v>
      </c>
      <c r="B107" s="17">
        <f t="shared" si="8"/>
        <v>70.018246737454319</v>
      </c>
      <c r="E107">
        <v>1.2079726730007678</v>
      </c>
      <c r="F107" s="22">
        <f t="shared" si="9"/>
        <v>72.415945346001536</v>
      </c>
      <c r="G107" s="22">
        <f t="shared" si="10"/>
        <v>76.039863365003839</v>
      </c>
      <c r="H107" s="22">
        <f t="shared" si="11"/>
        <v>82.079726730007678</v>
      </c>
    </row>
    <row r="108" spans="1:8" x14ac:dyDescent="0.25">
      <c r="A108">
        <v>-0.40454551708535291</v>
      </c>
      <c r="B108" s="17">
        <f t="shared" si="8"/>
        <v>68.786363448743941</v>
      </c>
      <c r="E108">
        <v>0.50102698878617957</v>
      </c>
      <c r="F108" s="22">
        <f t="shared" si="9"/>
        <v>71.002053977572359</v>
      </c>
      <c r="G108" s="22">
        <f t="shared" si="10"/>
        <v>72.505134943930898</v>
      </c>
      <c r="H108" s="22">
        <f t="shared" si="11"/>
        <v>75.010269887861796</v>
      </c>
    </row>
    <row r="109" spans="1:8" x14ac:dyDescent="0.25">
      <c r="E109">
        <v>-0.28370777727104723</v>
      </c>
      <c r="F109" s="22">
        <f t="shared" si="9"/>
        <v>69.432584445457906</v>
      </c>
      <c r="G109" s="22">
        <f t="shared" si="10"/>
        <v>68.581461113644764</v>
      </c>
      <c r="H109" s="22">
        <f t="shared" si="11"/>
        <v>67.162922227289528</v>
      </c>
    </row>
    <row r="110" spans="1:8" x14ac:dyDescent="0.25">
      <c r="E110">
        <v>-0.87382431956939399</v>
      </c>
      <c r="F110" s="22">
        <f t="shared" si="9"/>
        <v>68.252351360861212</v>
      </c>
      <c r="G110" s="22">
        <f t="shared" si="10"/>
        <v>65.63087840215303</v>
      </c>
      <c r="H110" s="22">
        <f t="shared" si="11"/>
        <v>61.26175680430606</v>
      </c>
    </row>
    <row r="111" spans="1:8" x14ac:dyDescent="0.25">
      <c r="E111">
        <v>1.3787439456791617</v>
      </c>
      <c r="F111" s="22">
        <f t="shared" si="9"/>
        <v>72.757487891358323</v>
      </c>
      <c r="G111" s="22">
        <f t="shared" si="10"/>
        <v>76.893719728395808</v>
      </c>
      <c r="H111" s="22">
        <f t="shared" si="11"/>
        <v>83.787439456791617</v>
      </c>
    </row>
    <row r="112" spans="1:8" x14ac:dyDescent="0.25">
      <c r="E112">
        <v>-0.22365838958648965</v>
      </c>
      <c r="F112" s="22">
        <f t="shared" si="9"/>
        <v>69.552683220827021</v>
      </c>
      <c r="G112" s="22">
        <f t="shared" si="10"/>
        <v>68.881708052067552</v>
      </c>
      <c r="H112" s="22">
        <f t="shared" si="11"/>
        <v>67.763416104135104</v>
      </c>
    </row>
    <row r="113" spans="5:8" x14ac:dyDescent="0.25">
      <c r="E113">
        <v>-0.82381120591890067</v>
      </c>
      <c r="F113" s="22">
        <f t="shared" si="9"/>
        <v>68.352377588162199</v>
      </c>
      <c r="G113" s="22">
        <f t="shared" si="10"/>
        <v>65.880943970405497</v>
      </c>
      <c r="H113" s="22">
        <f t="shared" si="11"/>
        <v>61.761887940810993</v>
      </c>
    </row>
    <row r="114" spans="5:8" x14ac:dyDescent="0.25">
      <c r="E114">
        <v>0.28625663617276587</v>
      </c>
      <c r="F114" s="22">
        <f t="shared" si="9"/>
        <v>70.572513272345532</v>
      </c>
      <c r="G114" s="22">
        <f t="shared" si="10"/>
        <v>71.431283180863829</v>
      </c>
      <c r="H114" s="22">
        <f t="shared" si="11"/>
        <v>72.862566361727659</v>
      </c>
    </row>
    <row r="115" spans="5:8" x14ac:dyDescent="0.25">
      <c r="E115">
        <v>0.35814309740089811</v>
      </c>
      <c r="F115" s="22">
        <f t="shared" si="9"/>
        <v>70.716286194801796</v>
      </c>
      <c r="G115" s="22">
        <f t="shared" si="10"/>
        <v>71.790715487004491</v>
      </c>
      <c r="H115" s="22">
        <f t="shared" si="11"/>
        <v>73.581430974008981</v>
      </c>
    </row>
    <row r="116" spans="5:8" x14ac:dyDescent="0.25">
      <c r="E116">
        <v>-9.1428091764100827E-2</v>
      </c>
      <c r="F116" s="22">
        <f t="shared" si="9"/>
        <v>69.817143816471798</v>
      </c>
      <c r="G116" s="22">
        <f t="shared" si="10"/>
        <v>69.542859541179496</v>
      </c>
      <c r="H116" s="22">
        <f t="shared" si="11"/>
        <v>69.085719082358992</v>
      </c>
    </row>
    <row r="117" spans="5:8" x14ac:dyDescent="0.25">
      <c r="E117">
        <v>0.87460875874967314</v>
      </c>
      <c r="F117" s="22">
        <f t="shared" si="9"/>
        <v>71.749217517499346</v>
      </c>
      <c r="G117" s="22">
        <f t="shared" si="10"/>
        <v>74.373043793748366</v>
      </c>
      <c r="H117" s="22">
        <f t="shared" si="11"/>
        <v>78.746087587496731</v>
      </c>
    </row>
    <row r="118" spans="5:8" x14ac:dyDescent="0.25">
      <c r="E118">
        <v>-0.75659272624761797</v>
      </c>
      <c r="F118" s="22">
        <f t="shared" si="9"/>
        <v>68.486814547504764</v>
      </c>
      <c r="G118" s="22">
        <f t="shared" si="10"/>
        <v>66.21703636876191</v>
      </c>
      <c r="H118" s="22">
        <f t="shared" si="11"/>
        <v>62.43407273752382</v>
      </c>
    </row>
    <row r="119" spans="5:8" x14ac:dyDescent="0.25">
      <c r="E119">
        <v>-0.21167352315387689</v>
      </c>
      <c r="F119" s="22">
        <f t="shared" si="9"/>
        <v>69.576652953692246</v>
      </c>
      <c r="G119" s="22">
        <f t="shared" si="10"/>
        <v>68.941632384230616</v>
      </c>
      <c r="H119" s="22">
        <f t="shared" si="11"/>
        <v>67.883264768461231</v>
      </c>
    </row>
    <row r="120" spans="5:8" x14ac:dyDescent="0.25">
      <c r="E120">
        <v>0.36819301385548897</v>
      </c>
      <c r="F120" s="22">
        <f t="shared" si="9"/>
        <v>70.736386027710978</v>
      </c>
      <c r="G120" s="22">
        <f t="shared" si="10"/>
        <v>71.840965069277445</v>
      </c>
      <c r="H120" s="22">
        <f t="shared" si="11"/>
        <v>73.68193013855489</v>
      </c>
    </row>
    <row r="121" spans="5:8" x14ac:dyDescent="0.25">
      <c r="E121">
        <v>0.53859366744291037</v>
      </c>
      <c r="F121" s="22">
        <f t="shared" si="9"/>
        <v>71.077187334885821</v>
      </c>
      <c r="G121" s="22">
        <f t="shared" si="10"/>
        <v>72.692968337214552</v>
      </c>
      <c r="H121" s="22">
        <f t="shared" si="11"/>
        <v>75.385936674429104</v>
      </c>
    </row>
    <row r="122" spans="5:8" x14ac:dyDescent="0.25">
      <c r="E122">
        <v>-0.41111206883215345</v>
      </c>
      <c r="F122" s="22">
        <f t="shared" si="9"/>
        <v>69.177775862335693</v>
      </c>
      <c r="G122" s="22">
        <f t="shared" si="10"/>
        <v>67.944439655839233</v>
      </c>
      <c r="H122" s="22">
        <f t="shared" si="11"/>
        <v>65.888879311678465</v>
      </c>
    </row>
    <row r="123" spans="5:8" x14ac:dyDescent="0.25">
      <c r="E123">
        <v>-0.45505771595344413</v>
      </c>
      <c r="F123" s="22">
        <f t="shared" si="9"/>
        <v>69.089884568093112</v>
      </c>
      <c r="G123" s="22">
        <f t="shared" si="10"/>
        <v>67.724711420232779</v>
      </c>
      <c r="H123" s="22">
        <f t="shared" si="11"/>
        <v>65.449422840465559</v>
      </c>
    </row>
    <row r="124" spans="5:8" x14ac:dyDescent="0.25">
      <c r="E124">
        <v>-1.0251187632093206</v>
      </c>
      <c r="F124" s="22">
        <f t="shared" si="9"/>
        <v>67.949762473581359</v>
      </c>
      <c r="G124" s="22">
        <f t="shared" si="10"/>
        <v>64.874406183953397</v>
      </c>
      <c r="H124" s="22">
        <f t="shared" si="11"/>
        <v>59.748812367906794</v>
      </c>
    </row>
    <row r="125" spans="5:8" x14ac:dyDescent="0.25">
      <c r="E125">
        <v>-7.6074684329796582E-2</v>
      </c>
      <c r="F125" s="22">
        <f t="shared" si="9"/>
        <v>69.847850631340407</v>
      </c>
      <c r="G125" s="22">
        <f t="shared" si="10"/>
        <v>69.619626578351017</v>
      </c>
      <c r="H125" s="22">
        <f t="shared" si="11"/>
        <v>69.239253156702034</v>
      </c>
    </row>
    <row r="126" spans="5:8" x14ac:dyDescent="0.25">
      <c r="E126">
        <v>-0.88440629042452201</v>
      </c>
      <c r="F126" s="22">
        <f t="shared" si="9"/>
        <v>68.231187419150956</v>
      </c>
      <c r="G126" s="22">
        <f t="shared" si="10"/>
        <v>65.57796854787739</v>
      </c>
      <c r="H126" s="22">
        <f t="shared" si="11"/>
        <v>61.15593709575478</v>
      </c>
    </row>
    <row r="127" spans="5:8" x14ac:dyDescent="0.25">
      <c r="E127">
        <v>-0.51705001169466414</v>
      </c>
      <c r="F127" s="22">
        <f t="shared" si="9"/>
        <v>68.965899976610672</v>
      </c>
      <c r="G127" s="22">
        <f t="shared" si="10"/>
        <v>67.414749941526679</v>
      </c>
      <c r="H127" s="22">
        <f t="shared" si="11"/>
        <v>64.829499883053359</v>
      </c>
    </row>
    <row r="128" spans="5:8" x14ac:dyDescent="0.25">
      <c r="E128">
        <v>0.88928118202602491</v>
      </c>
      <c r="F128" s="22">
        <f t="shared" si="9"/>
        <v>71.77856236405205</v>
      </c>
      <c r="G128" s="22">
        <f t="shared" si="10"/>
        <v>74.446405910130125</v>
      </c>
      <c r="H128" s="22">
        <f t="shared" si="11"/>
        <v>78.892811820260249</v>
      </c>
    </row>
    <row r="129" spans="5:8" x14ac:dyDescent="0.25">
      <c r="E129">
        <v>-0.7373819244094193</v>
      </c>
      <c r="F129" s="22">
        <f t="shared" si="9"/>
        <v>68.525236151181161</v>
      </c>
      <c r="G129" s="22">
        <f t="shared" si="10"/>
        <v>66.313090377952904</v>
      </c>
      <c r="H129" s="22">
        <f t="shared" si="11"/>
        <v>62.626180755905807</v>
      </c>
    </row>
    <row r="130" spans="5:8" x14ac:dyDescent="0.25">
      <c r="E130">
        <v>-1.2598911780514754</v>
      </c>
      <c r="F130" s="22">
        <f t="shared" si="9"/>
        <v>67.480217643897049</v>
      </c>
      <c r="G130" s="22">
        <f t="shared" si="10"/>
        <v>63.700544109742623</v>
      </c>
      <c r="H130" s="22">
        <f t="shared" si="11"/>
        <v>57.401088219485246</v>
      </c>
    </row>
    <row r="131" spans="5:8" x14ac:dyDescent="0.25">
      <c r="E131">
        <v>0.49712866712070536</v>
      </c>
      <c r="F131" s="22">
        <f t="shared" si="9"/>
        <v>70.994257334241411</v>
      </c>
      <c r="G131" s="22">
        <f t="shared" si="10"/>
        <v>72.485643335603527</v>
      </c>
      <c r="H131" s="22">
        <f t="shared" si="11"/>
        <v>74.971286671207054</v>
      </c>
    </row>
    <row r="132" spans="5:8" x14ac:dyDescent="0.25">
      <c r="E132">
        <v>-1.5555497157038189</v>
      </c>
      <c r="F132" s="22">
        <f t="shared" si="9"/>
        <v>66.888900568592362</v>
      </c>
      <c r="G132" s="22">
        <f t="shared" si="10"/>
        <v>62.222251421480905</v>
      </c>
      <c r="H132" s="22">
        <f t="shared" si="11"/>
        <v>54.444502842961811</v>
      </c>
    </row>
    <row r="133" spans="5:8" x14ac:dyDescent="0.25">
      <c r="E133">
        <v>0.89760533228400163</v>
      </c>
      <c r="F133" s="22">
        <f t="shared" si="9"/>
        <v>71.795210664568003</v>
      </c>
      <c r="G133" s="22">
        <f t="shared" si="10"/>
        <v>74.488026661420008</v>
      </c>
      <c r="H133" s="22">
        <f t="shared" si="11"/>
        <v>78.976053322840016</v>
      </c>
    </row>
    <row r="134" spans="5:8" x14ac:dyDescent="0.25">
      <c r="E134">
        <v>0.53400071919895709</v>
      </c>
      <c r="F134" s="22">
        <f t="shared" si="9"/>
        <v>71.068001438397914</v>
      </c>
      <c r="G134" s="22">
        <f t="shared" si="10"/>
        <v>72.670003595994785</v>
      </c>
      <c r="H134" s="22">
        <f t="shared" si="11"/>
        <v>75.340007191989571</v>
      </c>
    </row>
  </sheetData>
  <mergeCells count="3">
    <mergeCell ref="A2:I5"/>
    <mergeCell ref="N34:O34"/>
    <mergeCell ref="J34:K3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opLeftCell="A16" workbookViewId="0">
      <selection activeCell="G24" sqref="G24"/>
    </sheetView>
  </sheetViews>
  <sheetFormatPr defaultRowHeight="15" x14ac:dyDescent="0.25"/>
  <cols>
    <col min="13" max="13" width="19.5703125" bestFit="1" customWidth="1"/>
    <col min="16" max="16" width="19.5703125" bestFit="1" customWidth="1"/>
    <col min="19" max="19" width="19.5703125" bestFit="1" customWidth="1"/>
  </cols>
  <sheetData>
    <row r="1" spans="1:20" ht="15" customHeight="1" x14ac:dyDescent="0.25">
      <c r="A1" s="51" t="s">
        <v>46</v>
      </c>
      <c r="B1" s="51"/>
      <c r="C1" s="51"/>
      <c r="D1" s="51"/>
      <c r="E1" s="51"/>
      <c r="F1" s="51"/>
      <c r="I1" t="s">
        <v>31</v>
      </c>
      <c r="J1">
        <v>0.34605363907758147</v>
      </c>
      <c r="K1" s="17">
        <f>J1*4+50</f>
        <v>51.384214556310326</v>
      </c>
      <c r="M1" s="50" t="s">
        <v>48</v>
      </c>
      <c r="N1" s="50"/>
      <c r="P1" s="50" t="s">
        <v>49</v>
      </c>
      <c r="Q1" s="50"/>
      <c r="S1" s="50" t="s">
        <v>50</v>
      </c>
      <c r="T1" s="50"/>
    </row>
    <row r="2" spans="1:20" x14ac:dyDescent="0.25">
      <c r="A2" s="51"/>
      <c r="B2" s="51"/>
      <c r="C2" s="51"/>
      <c r="D2" s="51"/>
      <c r="E2" s="51"/>
      <c r="F2" s="51"/>
      <c r="I2" t="s">
        <v>31</v>
      </c>
      <c r="J2">
        <v>0.96127223514486104</v>
      </c>
      <c r="K2" s="17">
        <f t="shared" ref="K2:K20" si="0">J2*4+50</f>
        <v>53.845088940579444</v>
      </c>
      <c r="M2" s="18"/>
      <c r="N2" s="18"/>
      <c r="P2" s="18"/>
      <c r="Q2" s="18"/>
      <c r="S2" s="18"/>
      <c r="T2" s="18"/>
    </row>
    <row r="3" spans="1:20" x14ac:dyDescent="0.25">
      <c r="A3" s="51"/>
      <c r="B3" s="51"/>
      <c r="C3" s="51"/>
      <c r="D3" s="51"/>
      <c r="E3" s="51"/>
      <c r="F3" s="51"/>
      <c r="I3" t="s">
        <v>31</v>
      </c>
      <c r="J3">
        <v>-1.5266095942934044</v>
      </c>
      <c r="K3" s="17">
        <f t="shared" si="0"/>
        <v>43.893561622826383</v>
      </c>
      <c r="M3" s="18" t="s">
        <v>2</v>
      </c>
      <c r="N3" s="18">
        <v>46.853634911531117</v>
      </c>
      <c r="P3" s="18" t="s">
        <v>2</v>
      </c>
      <c r="Q3" s="18">
        <v>62.91806567372987</v>
      </c>
      <c r="S3" s="18" t="s">
        <v>2</v>
      </c>
      <c r="T3" s="18">
        <v>54.885850292630494</v>
      </c>
    </row>
    <row r="4" spans="1:20" x14ac:dyDescent="0.25">
      <c r="A4" s="51"/>
      <c r="B4" s="51"/>
      <c r="C4" s="51"/>
      <c r="D4" s="51"/>
      <c r="E4" s="51"/>
      <c r="F4" s="51"/>
      <c r="I4" t="s">
        <v>31</v>
      </c>
      <c r="J4">
        <v>1.4672059478471056</v>
      </c>
      <c r="K4" s="17">
        <f t="shared" si="0"/>
        <v>55.868823791388422</v>
      </c>
      <c r="M4" s="18" t="s">
        <v>33</v>
      </c>
      <c r="N4" s="18">
        <v>3.6651125132020006</v>
      </c>
      <c r="P4" s="18" t="s">
        <v>33</v>
      </c>
      <c r="Q4" s="18">
        <v>3.7217082163242536</v>
      </c>
      <c r="S4" s="18" t="s">
        <v>33</v>
      </c>
      <c r="T4" s="18">
        <v>2.8810433511467086</v>
      </c>
    </row>
    <row r="5" spans="1:20" x14ac:dyDescent="0.25">
      <c r="A5" s="51"/>
      <c r="B5" s="51"/>
      <c r="C5" s="51"/>
      <c r="D5" s="51"/>
      <c r="E5" s="51"/>
      <c r="F5" s="51"/>
      <c r="I5" t="s">
        <v>31</v>
      </c>
      <c r="J5">
        <v>-0.38753569242544472</v>
      </c>
      <c r="K5" s="17">
        <f t="shared" si="0"/>
        <v>48.449857230298221</v>
      </c>
      <c r="M5" s="18" t="s">
        <v>3</v>
      </c>
      <c r="N5" s="18">
        <v>47.186268956284039</v>
      </c>
      <c r="P5" s="18" t="s">
        <v>3</v>
      </c>
      <c r="Q5" s="18">
        <v>62.402983353822492</v>
      </c>
      <c r="S5" s="18" t="s">
        <v>3</v>
      </c>
      <c r="T5" s="18">
        <v>54.246916811680421</v>
      </c>
    </row>
    <row r="6" spans="1:20" x14ac:dyDescent="0.25">
      <c r="A6" s="51"/>
      <c r="B6" s="51"/>
      <c r="C6" s="51"/>
      <c r="D6" s="51"/>
      <c r="E6" s="51"/>
      <c r="F6" s="51"/>
      <c r="I6" t="s">
        <v>31</v>
      </c>
      <c r="J6">
        <v>-2.1370624381233938</v>
      </c>
      <c r="K6" s="17">
        <f t="shared" si="0"/>
        <v>41.451750247506425</v>
      </c>
      <c r="M6" s="18" t="s">
        <v>34</v>
      </c>
      <c r="N6" s="18" t="e">
        <v>#N/A</v>
      </c>
      <c r="P6" s="18" t="s">
        <v>34</v>
      </c>
      <c r="Q6" s="18" t="e">
        <v>#N/A</v>
      </c>
      <c r="S6" s="18" t="s">
        <v>34</v>
      </c>
      <c r="T6" s="18" t="e">
        <v>#N/A</v>
      </c>
    </row>
    <row r="7" spans="1:20" x14ac:dyDescent="0.25">
      <c r="A7" s="51"/>
      <c r="B7" s="51"/>
      <c r="C7" s="51"/>
      <c r="D7" s="51"/>
      <c r="E7" s="51"/>
      <c r="F7" s="51"/>
      <c r="I7" t="s">
        <v>31</v>
      </c>
      <c r="J7">
        <v>-1.9947492546634749</v>
      </c>
      <c r="K7" s="17">
        <f t="shared" si="0"/>
        <v>42.021002981346101</v>
      </c>
      <c r="M7" s="18" t="s">
        <v>35</v>
      </c>
      <c r="N7" s="18">
        <v>16.390881449409537</v>
      </c>
      <c r="P7" s="18" t="s">
        <v>35</v>
      </c>
      <c r="Q7" s="18">
        <v>16.643985128241049</v>
      </c>
      <c r="S7" s="18" t="s">
        <v>35</v>
      </c>
      <c r="T7" s="18">
        <v>18.221318054615761</v>
      </c>
    </row>
    <row r="8" spans="1:20" x14ac:dyDescent="0.25">
      <c r="I8" t="s">
        <v>31</v>
      </c>
      <c r="J8">
        <v>-6.4574487623758614</v>
      </c>
      <c r="K8" s="17">
        <f t="shared" si="0"/>
        <v>24.170204950496554</v>
      </c>
      <c r="M8" s="18" t="s">
        <v>36</v>
      </c>
      <c r="N8" s="18">
        <v>268.66099468859773</v>
      </c>
      <c r="P8" s="18" t="s">
        <v>36</v>
      </c>
      <c r="Q8" s="18">
        <v>277.02224094910918</v>
      </c>
      <c r="S8" s="18" t="s">
        <v>36</v>
      </c>
      <c r="T8" s="18">
        <v>332.01643164746628</v>
      </c>
    </row>
    <row r="9" spans="1:20" x14ac:dyDescent="0.25">
      <c r="I9" t="s">
        <v>31</v>
      </c>
      <c r="J9">
        <v>7.517810445278883</v>
      </c>
      <c r="K9" s="17">
        <f t="shared" si="0"/>
        <v>80.071241781115532</v>
      </c>
      <c r="M9" s="18" t="s">
        <v>37</v>
      </c>
      <c r="N9" s="18">
        <v>0.17088770110903528</v>
      </c>
      <c r="P9" s="18" t="s">
        <v>37</v>
      </c>
      <c r="Q9" s="18">
        <v>1.1163594813843769E-2</v>
      </c>
      <c r="S9" s="18" t="s">
        <v>37</v>
      </c>
      <c r="T9" s="18">
        <v>0.1348202515476733</v>
      </c>
    </row>
    <row r="10" spans="1:20" x14ac:dyDescent="0.25">
      <c r="I10" t="s">
        <v>31</v>
      </c>
      <c r="J10">
        <v>3.2388652471126989</v>
      </c>
      <c r="K10" s="17">
        <f t="shared" si="0"/>
        <v>62.955460988450795</v>
      </c>
      <c r="M10" s="18" t="s">
        <v>38</v>
      </c>
      <c r="N10" s="18">
        <v>-1.6639693344662847E-2</v>
      </c>
      <c r="P10" s="18" t="s">
        <v>38</v>
      </c>
      <c r="Q10" s="18">
        <v>0.29991526144339514</v>
      </c>
      <c r="S10" s="18" t="s">
        <v>38</v>
      </c>
      <c r="T10" s="18">
        <v>0.11698528207251335</v>
      </c>
    </row>
    <row r="11" spans="1:20" x14ac:dyDescent="0.25">
      <c r="I11" t="s">
        <v>31</v>
      </c>
      <c r="J11">
        <v>-6.3003244576975703</v>
      </c>
      <c r="K11" s="17">
        <f t="shared" si="0"/>
        <v>24.798702169209719</v>
      </c>
      <c r="M11" s="18" t="s">
        <v>39</v>
      </c>
      <c r="N11" s="18">
        <v>66.673965193331242</v>
      </c>
      <c r="P11" s="18" t="s">
        <v>39</v>
      </c>
      <c r="Q11" s="18">
        <v>66.662614699453115</v>
      </c>
      <c r="S11" s="18" t="s">
        <v>39</v>
      </c>
      <c r="T11" s="18">
        <v>84.901871029287577</v>
      </c>
    </row>
    <row r="12" spans="1:20" x14ac:dyDescent="0.25">
      <c r="I12" t="s">
        <v>31</v>
      </c>
      <c r="J12">
        <v>-2.8342765290290117</v>
      </c>
      <c r="K12" s="17">
        <f t="shared" si="0"/>
        <v>38.662893883883953</v>
      </c>
      <c r="M12" s="18" t="s">
        <v>15</v>
      </c>
      <c r="N12" s="18">
        <v>13.39727658778429</v>
      </c>
      <c r="P12" s="18" t="s">
        <v>15</v>
      </c>
      <c r="Q12" s="18">
        <v>31.636532917618752</v>
      </c>
      <c r="S12" s="18" t="s">
        <v>15</v>
      </c>
      <c r="T12" s="18">
        <v>13.39727658778429</v>
      </c>
    </row>
    <row r="13" spans="1:20" x14ac:dyDescent="0.25">
      <c r="I13" t="s">
        <v>31</v>
      </c>
      <c r="J13">
        <v>2.5106282919296063</v>
      </c>
      <c r="K13" s="17">
        <f t="shared" si="0"/>
        <v>60.042513167718425</v>
      </c>
      <c r="M13" s="18" t="s">
        <v>22</v>
      </c>
      <c r="N13" s="18">
        <v>80.071241781115532</v>
      </c>
      <c r="P13" s="18" t="s">
        <v>22</v>
      </c>
      <c r="Q13" s="18">
        <v>98.299147617071867</v>
      </c>
      <c r="S13" s="18" t="s">
        <v>22</v>
      </c>
      <c r="T13" s="18">
        <v>98.299147617071867</v>
      </c>
    </row>
    <row r="14" spans="1:20" x14ac:dyDescent="0.25">
      <c r="I14" t="s">
        <v>31</v>
      </c>
      <c r="J14">
        <v>1.7465526980231516</v>
      </c>
      <c r="K14" s="17">
        <f t="shared" si="0"/>
        <v>56.986210792092606</v>
      </c>
      <c r="M14" s="18" t="s">
        <v>40</v>
      </c>
      <c r="N14" s="18">
        <v>937.07269823062234</v>
      </c>
      <c r="P14" s="18" t="s">
        <v>40</v>
      </c>
      <c r="Q14" s="18">
        <v>1258.3613134745974</v>
      </c>
      <c r="S14" s="18" t="s">
        <v>40</v>
      </c>
      <c r="T14" s="18">
        <v>2195.4340117052197</v>
      </c>
    </row>
    <row r="15" spans="1:20" ht="15.75" thickBot="1" x14ac:dyDescent="0.3">
      <c r="I15" t="s">
        <v>31</v>
      </c>
      <c r="J15">
        <v>-0.22395397536456585</v>
      </c>
      <c r="K15" s="17">
        <f t="shared" si="0"/>
        <v>49.104184098541737</v>
      </c>
      <c r="M15" s="19" t="s">
        <v>41</v>
      </c>
      <c r="N15" s="19">
        <v>20</v>
      </c>
      <c r="P15" s="19" t="s">
        <v>41</v>
      </c>
      <c r="Q15" s="19">
        <v>20</v>
      </c>
      <c r="S15" s="19" t="s">
        <v>41</v>
      </c>
      <c r="T15" s="19">
        <v>40</v>
      </c>
    </row>
    <row r="16" spans="1:20" x14ac:dyDescent="0.25">
      <c r="I16" t="s">
        <v>31</v>
      </c>
      <c r="J16">
        <v>-5.0900416681542993</v>
      </c>
      <c r="K16" s="17">
        <f t="shared" si="0"/>
        <v>29.639833327382803</v>
      </c>
    </row>
    <row r="17" spans="9:21" x14ac:dyDescent="0.25">
      <c r="I17" t="s">
        <v>31</v>
      </c>
      <c r="J17">
        <v>5.9348894865252078</v>
      </c>
      <c r="K17" s="17">
        <f t="shared" si="0"/>
        <v>73.739557946100831</v>
      </c>
      <c r="S17" t="s">
        <v>51</v>
      </c>
      <c r="T17">
        <f>SQRT(T15)</f>
        <v>6.324555320336759</v>
      </c>
    </row>
    <row r="18" spans="9:21" x14ac:dyDescent="0.25">
      <c r="I18" t="s">
        <v>31</v>
      </c>
      <c r="J18">
        <v>-2.3330903786700219</v>
      </c>
      <c r="K18" s="17">
        <f t="shared" si="0"/>
        <v>40.667638485319912</v>
      </c>
      <c r="S18" t="s">
        <v>16</v>
      </c>
      <c r="T18">
        <f>INT(T17)</f>
        <v>6</v>
      </c>
    </row>
    <row r="19" spans="9:21" x14ac:dyDescent="0.25">
      <c r="I19" t="s">
        <v>31</v>
      </c>
      <c r="J19">
        <v>-1.0193298294325359</v>
      </c>
      <c r="K19" s="17">
        <f t="shared" si="0"/>
        <v>45.922680682269856</v>
      </c>
      <c r="S19" t="s">
        <v>52</v>
      </c>
      <c r="T19">
        <f>(T13-T12)/(T18-1)</f>
        <v>16.980374205857515</v>
      </c>
    </row>
    <row r="20" spans="9:21" x14ac:dyDescent="0.25">
      <c r="I20" t="s">
        <v>31</v>
      </c>
      <c r="J20">
        <v>-9.1506808530539274</v>
      </c>
      <c r="K20" s="17">
        <f t="shared" si="0"/>
        <v>13.39727658778429</v>
      </c>
    </row>
    <row r="21" spans="9:21" x14ac:dyDescent="0.25">
      <c r="I21" t="s">
        <v>45</v>
      </c>
      <c r="J21">
        <v>-0.40167833503801376</v>
      </c>
      <c r="K21" s="17">
        <f>J21*4+85</f>
        <v>83.393286659847945</v>
      </c>
    </row>
    <row r="22" spans="9:21" x14ac:dyDescent="0.25">
      <c r="I22" t="s">
        <v>45</v>
      </c>
      <c r="J22">
        <v>-0.94112692750059068</v>
      </c>
      <c r="K22" s="17">
        <f t="shared" ref="K22:K40" si="1">J22*4+85</f>
        <v>81.235492289997637</v>
      </c>
      <c r="S22" s="2" t="s">
        <v>16</v>
      </c>
      <c r="T22" s="2" t="s">
        <v>17</v>
      </c>
      <c r="U22" s="2" t="s">
        <v>43</v>
      </c>
    </row>
    <row r="23" spans="9:21" x14ac:dyDescent="0.25">
      <c r="I23" t="s">
        <v>45</v>
      </c>
      <c r="J23">
        <v>4.6774675865890458</v>
      </c>
      <c r="K23" s="17">
        <f t="shared" si="1"/>
        <v>103.70987034635618</v>
      </c>
      <c r="S23">
        <v>1</v>
      </c>
      <c r="T23">
        <v>20</v>
      </c>
      <c r="U23">
        <f t="array" ref="U23:U33">FREQUENCY(K1:K40,T23:T33)</f>
        <v>1</v>
      </c>
    </row>
    <row r="24" spans="9:21" x14ac:dyDescent="0.25">
      <c r="I24" t="s">
        <v>45</v>
      </c>
      <c r="J24">
        <v>8.3247869042679667</v>
      </c>
      <c r="K24" s="17">
        <f t="shared" si="1"/>
        <v>118.29914761707187</v>
      </c>
      <c r="S24">
        <v>2</v>
      </c>
      <c r="T24">
        <v>30</v>
      </c>
      <c r="U24">
        <v>3</v>
      </c>
    </row>
    <row r="25" spans="9:21" x14ac:dyDescent="0.25">
      <c r="I25" t="s">
        <v>45</v>
      </c>
      <c r="J25">
        <v>-2.691722329473123</v>
      </c>
      <c r="K25" s="17">
        <f t="shared" si="1"/>
        <v>74.233110682107508</v>
      </c>
      <c r="S25">
        <v>3</v>
      </c>
      <c r="T25">
        <v>40</v>
      </c>
      <c r="U25">
        <v>1</v>
      </c>
    </row>
    <row r="26" spans="9:21" x14ac:dyDescent="0.25">
      <c r="I26" t="s">
        <v>45</v>
      </c>
      <c r="J26">
        <v>3.6951132642570883</v>
      </c>
      <c r="K26" s="17">
        <f t="shared" si="1"/>
        <v>99.780453057028353</v>
      </c>
      <c r="S26">
        <v>4</v>
      </c>
      <c r="T26">
        <v>50</v>
      </c>
      <c r="U26">
        <v>7</v>
      </c>
    </row>
    <row r="27" spans="9:21" x14ac:dyDescent="0.25">
      <c r="I27" t="s">
        <v>45</v>
      </c>
      <c r="J27">
        <v>-4.2794908949872479</v>
      </c>
      <c r="K27" s="17">
        <f t="shared" si="1"/>
        <v>67.882036420051008</v>
      </c>
      <c r="S27">
        <v>5</v>
      </c>
      <c r="T27">
        <v>60</v>
      </c>
      <c r="U27">
        <v>6</v>
      </c>
    </row>
    <row r="28" spans="9:21" x14ac:dyDescent="0.25">
      <c r="I28" t="s">
        <v>45</v>
      </c>
      <c r="J28">
        <v>-6.3462175603490323</v>
      </c>
      <c r="K28" s="17">
        <f t="shared" si="1"/>
        <v>59.615129758603871</v>
      </c>
      <c r="S28">
        <v>6</v>
      </c>
      <c r="T28">
        <v>70</v>
      </c>
      <c r="U28">
        <v>5</v>
      </c>
    </row>
    <row r="29" spans="9:21" x14ac:dyDescent="0.25">
      <c r="I29" t="s">
        <v>45</v>
      </c>
      <c r="J29">
        <v>-2.6848192646866664</v>
      </c>
      <c r="K29" s="17">
        <f t="shared" si="1"/>
        <v>74.260722941253334</v>
      </c>
      <c r="S29">
        <v>7</v>
      </c>
      <c r="T29">
        <v>80</v>
      </c>
      <c r="U29">
        <v>4</v>
      </c>
    </row>
    <row r="30" spans="9:21" x14ac:dyDescent="0.25">
      <c r="I30" t="s">
        <v>45</v>
      </c>
      <c r="J30">
        <v>1.8327955331187695</v>
      </c>
      <c r="K30" s="17">
        <f t="shared" si="1"/>
        <v>92.331182132475078</v>
      </c>
      <c r="S30">
        <v>8</v>
      </c>
      <c r="T30">
        <v>90</v>
      </c>
      <c r="U30">
        <v>7</v>
      </c>
    </row>
    <row r="31" spans="9:21" x14ac:dyDescent="0.25">
      <c r="I31" t="s">
        <v>45</v>
      </c>
      <c r="J31">
        <v>-0.89682998805074021</v>
      </c>
      <c r="K31" s="17">
        <f t="shared" si="1"/>
        <v>81.412680047797039</v>
      </c>
      <c r="S31">
        <v>9</v>
      </c>
      <c r="T31">
        <v>100</v>
      </c>
      <c r="U31">
        <v>3</v>
      </c>
    </row>
    <row r="32" spans="9:21" x14ac:dyDescent="0.25">
      <c r="I32" t="s">
        <v>45</v>
      </c>
      <c r="J32">
        <v>0.52089490054640919</v>
      </c>
      <c r="K32" s="17">
        <f t="shared" si="1"/>
        <v>87.083579602185637</v>
      </c>
      <c r="S32">
        <v>10</v>
      </c>
      <c r="T32">
        <v>110</v>
      </c>
      <c r="U32">
        <v>2</v>
      </c>
    </row>
    <row r="33" spans="9:21" x14ac:dyDescent="0.25">
      <c r="I33" t="s">
        <v>45</v>
      </c>
      <c r="J33">
        <v>-0.38938196667004377</v>
      </c>
      <c r="K33" s="17">
        <f t="shared" si="1"/>
        <v>83.442472133319825</v>
      </c>
      <c r="S33">
        <v>11</v>
      </c>
      <c r="T33">
        <v>120</v>
      </c>
      <c r="U33">
        <v>1</v>
      </c>
    </row>
    <row r="34" spans="9:21" x14ac:dyDescent="0.25">
      <c r="I34" t="s">
        <v>45</v>
      </c>
      <c r="J34">
        <v>-4.217099558445625</v>
      </c>
      <c r="K34" s="17">
        <f t="shared" si="1"/>
        <v>68.1316017662175</v>
      </c>
    </row>
    <row r="35" spans="9:21" x14ac:dyDescent="0.25">
      <c r="I35" t="s">
        <v>45</v>
      </c>
      <c r="J35">
        <v>-4.3985255615552887</v>
      </c>
      <c r="K35" s="17">
        <f t="shared" si="1"/>
        <v>67.405897753778845</v>
      </c>
    </row>
    <row r="36" spans="9:21" x14ac:dyDescent="0.25">
      <c r="I36" t="s">
        <v>45</v>
      </c>
      <c r="J36">
        <v>1.9419076124904677</v>
      </c>
      <c r="K36" s="17">
        <f t="shared" si="1"/>
        <v>92.767630449961871</v>
      </c>
    </row>
    <row r="37" spans="9:21" x14ac:dyDescent="0.25">
      <c r="I37" t="s">
        <v>45</v>
      </c>
      <c r="J37">
        <v>-8.3408667705953121</v>
      </c>
      <c r="K37" s="17">
        <f t="shared" si="1"/>
        <v>51.636532917618752</v>
      </c>
    </row>
    <row r="38" spans="9:21" x14ac:dyDescent="0.25">
      <c r="I38" t="s">
        <v>45</v>
      </c>
      <c r="J38">
        <v>6.121572369011119</v>
      </c>
      <c r="K38" s="17">
        <f t="shared" si="1"/>
        <v>109.48628947604448</v>
      </c>
    </row>
    <row r="39" spans="9:21" x14ac:dyDescent="0.25">
      <c r="I39" t="s">
        <v>45</v>
      </c>
      <c r="J39">
        <v>-1.693188096396625</v>
      </c>
      <c r="K39" s="17">
        <f t="shared" si="1"/>
        <v>78.2272476144135</v>
      </c>
    </row>
    <row r="40" spans="9:21" x14ac:dyDescent="0.25">
      <c r="I40" t="s">
        <v>45</v>
      </c>
      <c r="J40">
        <v>-0.24326254788320512</v>
      </c>
      <c r="K40" s="17">
        <f t="shared" si="1"/>
        <v>84.02694980846718</v>
      </c>
    </row>
  </sheetData>
  <sortState ref="C13:C52">
    <sortCondition ref="C13"/>
  </sortState>
  <mergeCells count="4">
    <mergeCell ref="A1:F7"/>
    <mergeCell ref="M1:N1"/>
    <mergeCell ref="P1:Q1"/>
    <mergeCell ref="S1:T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I19" sqref="I19"/>
    </sheetView>
  </sheetViews>
  <sheetFormatPr defaultRowHeight="15" x14ac:dyDescent="0.25"/>
  <cols>
    <col min="1" max="1" width="11.7109375" bestFit="1" customWidth="1"/>
    <col min="2" max="2" width="13.28515625" bestFit="1" customWidth="1"/>
    <col min="3" max="3" width="13.28515625" customWidth="1"/>
    <col min="6" max="6" width="16.5703125" bestFit="1" customWidth="1"/>
  </cols>
  <sheetData>
    <row r="1" spans="1:16" x14ac:dyDescent="0.25">
      <c r="A1" t="s">
        <v>53</v>
      </c>
      <c r="B1" t="s">
        <v>54</v>
      </c>
      <c r="E1" t="s">
        <v>3</v>
      </c>
      <c r="F1" t="s">
        <v>57</v>
      </c>
      <c r="G1" t="s">
        <v>58</v>
      </c>
      <c r="H1">
        <v>2</v>
      </c>
      <c r="P1" t="s">
        <v>10</v>
      </c>
    </row>
    <row r="2" spans="1:16" x14ac:dyDescent="0.25">
      <c r="A2">
        <v>0</v>
      </c>
      <c r="B2">
        <v>17</v>
      </c>
      <c r="C2">
        <f>A2*B2</f>
        <v>0</v>
      </c>
      <c r="E2" t="s">
        <v>56</v>
      </c>
      <c r="F2" t="s">
        <v>59</v>
      </c>
      <c r="H2">
        <v>2</v>
      </c>
      <c r="P2" t="s">
        <v>11</v>
      </c>
    </row>
    <row r="3" spans="1:16" x14ac:dyDescent="0.25">
      <c r="A3">
        <v>1</v>
      </c>
      <c r="B3">
        <v>20</v>
      </c>
      <c r="C3">
        <f t="shared" ref="C3:C7" si="0">A3*B3</f>
        <v>20</v>
      </c>
      <c r="E3" t="s">
        <v>2</v>
      </c>
      <c r="F3">
        <f>SUM(C2:C8)/B9</f>
        <v>2.11</v>
      </c>
      <c r="P3" t="s">
        <v>12</v>
      </c>
    </row>
    <row r="4" spans="1:16" x14ac:dyDescent="0.25">
      <c r="A4">
        <v>2</v>
      </c>
      <c r="B4">
        <v>28</v>
      </c>
      <c r="C4">
        <f t="shared" si="0"/>
        <v>56</v>
      </c>
    </row>
    <row r="5" spans="1:16" x14ac:dyDescent="0.25">
      <c r="A5">
        <v>3</v>
      </c>
      <c r="B5">
        <v>19</v>
      </c>
      <c r="C5">
        <f t="shared" si="0"/>
        <v>57</v>
      </c>
      <c r="F5" s="51" t="s">
        <v>60</v>
      </c>
      <c r="G5" s="51"/>
      <c r="H5" s="51"/>
      <c r="I5" s="51"/>
      <c r="J5" s="51"/>
      <c r="K5" s="51"/>
      <c r="L5" s="51"/>
      <c r="M5" s="51"/>
    </row>
    <row r="6" spans="1:16" x14ac:dyDescent="0.25">
      <c r="A6">
        <v>4</v>
      </c>
      <c r="B6">
        <v>7</v>
      </c>
      <c r="C6">
        <f t="shared" si="0"/>
        <v>28</v>
      </c>
      <c r="F6" s="51"/>
      <c r="G6" s="51"/>
      <c r="H6" s="51"/>
      <c r="I6" s="51"/>
      <c r="J6" s="51"/>
      <c r="K6" s="51"/>
      <c r="L6" s="51"/>
      <c r="M6" s="51"/>
    </row>
    <row r="7" spans="1:16" x14ac:dyDescent="0.25">
      <c r="A7">
        <v>5</v>
      </c>
      <c r="B7">
        <v>4</v>
      </c>
      <c r="C7">
        <f t="shared" si="0"/>
        <v>20</v>
      </c>
      <c r="F7" s="51"/>
      <c r="G7" s="51"/>
      <c r="H7" s="51"/>
      <c r="I7" s="51"/>
      <c r="J7" s="51"/>
      <c r="K7" s="51"/>
      <c r="L7" s="51"/>
      <c r="M7" s="51"/>
    </row>
    <row r="8" spans="1:16" x14ac:dyDescent="0.25">
      <c r="A8" t="s">
        <v>55</v>
      </c>
      <c r="B8">
        <v>5</v>
      </c>
      <c r="C8">
        <f>6*B8</f>
        <v>30</v>
      </c>
      <c r="F8" s="51"/>
      <c r="G8" s="51"/>
      <c r="H8" s="51"/>
      <c r="I8" s="51"/>
      <c r="J8" s="51"/>
      <c r="K8" s="51"/>
      <c r="L8" s="51"/>
      <c r="M8" s="51"/>
    </row>
    <row r="9" spans="1:16" x14ac:dyDescent="0.25">
      <c r="B9">
        <f>SUM(B2:B8)</f>
        <v>100</v>
      </c>
      <c r="F9" s="51"/>
      <c r="G9" s="51"/>
      <c r="H9" s="51"/>
      <c r="I9" s="51"/>
      <c r="J9" s="51"/>
      <c r="K9" s="51"/>
      <c r="L9" s="51"/>
      <c r="M9" s="51"/>
    </row>
    <row r="10" spans="1:16" x14ac:dyDescent="0.25">
      <c r="F10" s="51"/>
      <c r="G10" s="51"/>
      <c r="H10" s="51"/>
      <c r="I10" s="51"/>
      <c r="J10" s="51"/>
      <c r="K10" s="51"/>
      <c r="L10" s="51"/>
      <c r="M10" s="51"/>
    </row>
  </sheetData>
  <mergeCells count="1">
    <mergeCell ref="F5:M1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>
      <selection activeCell="Q13" sqref="Q13"/>
    </sheetView>
  </sheetViews>
  <sheetFormatPr defaultRowHeight="15" x14ac:dyDescent="0.25"/>
  <cols>
    <col min="3" max="3" width="19.5703125" bestFit="1" customWidth="1"/>
    <col min="10" max="10" width="5" bestFit="1" customWidth="1"/>
    <col min="11" max="12" width="3" bestFit="1" customWidth="1"/>
  </cols>
  <sheetData>
    <row r="1" spans="1:12" ht="15.75" thickBot="1" x14ac:dyDescent="0.3">
      <c r="A1" s="5">
        <v>2</v>
      </c>
      <c r="B1" s="6">
        <v>2</v>
      </c>
      <c r="C1" s="6">
        <v>3</v>
      </c>
      <c r="D1" s="6">
        <v>10</v>
      </c>
      <c r="E1" s="6">
        <v>13</v>
      </c>
      <c r="F1" s="6">
        <v>14</v>
      </c>
      <c r="G1" s="6">
        <v>15</v>
      </c>
      <c r="H1" s="6">
        <v>15</v>
      </c>
      <c r="I1" s="6">
        <v>16</v>
      </c>
      <c r="J1" s="6">
        <v>16</v>
      </c>
    </row>
    <row r="2" spans="1:12" ht="15.75" thickBot="1" x14ac:dyDescent="0.3">
      <c r="A2" s="7">
        <v>18</v>
      </c>
      <c r="B2" s="8">
        <v>18</v>
      </c>
      <c r="C2" s="8">
        <v>20</v>
      </c>
      <c r="D2" s="8">
        <v>21</v>
      </c>
      <c r="E2" s="8">
        <v>22</v>
      </c>
      <c r="F2" s="8">
        <v>22</v>
      </c>
      <c r="G2" s="8">
        <v>23</v>
      </c>
      <c r="H2" s="8">
        <v>24</v>
      </c>
      <c r="I2" s="8">
        <v>25</v>
      </c>
      <c r="J2" s="8">
        <v>25</v>
      </c>
    </row>
    <row r="3" spans="1:12" ht="15.75" thickBot="1" x14ac:dyDescent="0.3">
      <c r="A3" s="7">
        <v>26</v>
      </c>
      <c r="B3" s="8">
        <v>27</v>
      </c>
      <c r="C3" s="8">
        <v>29</v>
      </c>
      <c r="D3" s="8">
        <v>29</v>
      </c>
      <c r="E3" s="8">
        <v>30</v>
      </c>
      <c r="F3" s="8">
        <v>32</v>
      </c>
      <c r="G3" s="8">
        <v>36</v>
      </c>
      <c r="H3" s="8">
        <v>42</v>
      </c>
      <c r="I3" s="8">
        <v>44</v>
      </c>
      <c r="J3" s="8">
        <v>45</v>
      </c>
    </row>
    <row r="4" spans="1:12" ht="15.75" thickBot="1" x14ac:dyDescent="0.3">
      <c r="A4" s="7">
        <v>45</v>
      </c>
      <c r="B4" s="8">
        <v>46</v>
      </c>
      <c r="C4" s="8">
        <v>48</v>
      </c>
      <c r="D4" s="8">
        <v>52</v>
      </c>
      <c r="E4" s="8">
        <v>58</v>
      </c>
      <c r="F4" s="8">
        <v>59</v>
      </c>
      <c r="G4" s="8">
        <v>61</v>
      </c>
      <c r="H4" s="8">
        <v>61</v>
      </c>
      <c r="I4" s="8">
        <v>61</v>
      </c>
      <c r="J4" s="8">
        <v>65</v>
      </c>
    </row>
    <row r="5" spans="1:12" ht="15.75" thickBot="1" x14ac:dyDescent="0.3">
      <c r="A5" s="7">
        <v>66</v>
      </c>
      <c r="B5" s="8">
        <v>66</v>
      </c>
      <c r="C5" s="8">
        <v>68</v>
      </c>
      <c r="D5" s="8">
        <v>75</v>
      </c>
      <c r="E5" s="8">
        <v>78</v>
      </c>
      <c r="F5" s="8">
        <v>80</v>
      </c>
      <c r="G5" s="8">
        <v>89</v>
      </c>
      <c r="H5" s="8">
        <v>90</v>
      </c>
      <c r="I5" s="8">
        <v>92</v>
      </c>
      <c r="J5" s="8">
        <v>97</v>
      </c>
    </row>
    <row r="7" spans="1:12" ht="15.75" thickBot="1" x14ac:dyDescent="0.3"/>
    <row r="8" spans="1:12" ht="15.75" thickBot="1" x14ac:dyDescent="0.3">
      <c r="A8" s="5">
        <v>2</v>
      </c>
      <c r="C8" s="21" t="s">
        <v>47</v>
      </c>
      <c r="D8" s="21"/>
      <c r="I8" t="s">
        <v>64</v>
      </c>
      <c r="J8" s="25"/>
      <c r="K8" s="25">
        <f>COUNT(A8:A57)</f>
        <v>50</v>
      </c>
      <c r="L8" s="25"/>
    </row>
    <row r="9" spans="1:12" ht="15.75" thickBot="1" x14ac:dyDescent="0.3">
      <c r="A9" s="6">
        <v>2</v>
      </c>
      <c r="C9" s="18"/>
      <c r="D9" s="18"/>
      <c r="I9" t="s">
        <v>61</v>
      </c>
      <c r="J9" s="26"/>
      <c r="K9" s="2">
        <f>_xlfn.QUARTILE.EXC($A$8:$A$57,2)</f>
        <v>31</v>
      </c>
      <c r="L9" s="28"/>
    </row>
    <row r="10" spans="1:12" ht="15.75" thickBot="1" x14ac:dyDescent="0.3">
      <c r="A10" s="6">
        <v>3</v>
      </c>
      <c r="C10" s="18" t="s">
        <v>2</v>
      </c>
      <c r="D10" s="18">
        <v>40.42</v>
      </c>
      <c r="I10" t="s">
        <v>62</v>
      </c>
      <c r="J10" s="27">
        <f>_xlfn.QUARTILE.EXC($A$8:$A$57,1)</f>
        <v>19.5</v>
      </c>
      <c r="K10" s="2"/>
      <c r="L10" s="29">
        <f>_xlfn.QUARTILE.EXC($A$8:$A$57,3)</f>
        <v>61</v>
      </c>
    </row>
    <row r="11" spans="1:12" ht="15.75" thickBot="1" x14ac:dyDescent="0.3">
      <c r="A11" s="6">
        <v>10</v>
      </c>
      <c r="C11" s="18" t="s">
        <v>33</v>
      </c>
      <c r="D11" s="18">
        <v>3.6878277439961522</v>
      </c>
      <c r="I11" t="s">
        <v>63</v>
      </c>
      <c r="J11" s="27">
        <f>MIN(A8:A57)</f>
        <v>2</v>
      </c>
      <c r="K11" s="2"/>
      <c r="L11" s="29">
        <f>MAX(A8:A57)</f>
        <v>97</v>
      </c>
    </row>
    <row r="12" spans="1:12" ht="15.75" thickBot="1" x14ac:dyDescent="0.3">
      <c r="A12" s="6">
        <v>13</v>
      </c>
      <c r="C12" s="18" t="s">
        <v>3</v>
      </c>
      <c r="D12" s="18">
        <v>31</v>
      </c>
    </row>
    <row r="13" spans="1:12" ht="15.75" thickBot="1" x14ac:dyDescent="0.3">
      <c r="A13" s="6">
        <v>14</v>
      </c>
      <c r="C13" s="18" t="s">
        <v>34</v>
      </c>
      <c r="D13" s="18">
        <v>61</v>
      </c>
    </row>
    <row r="14" spans="1:12" ht="15.75" thickBot="1" x14ac:dyDescent="0.3">
      <c r="A14" s="6">
        <v>15</v>
      </c>
      <c r="C14" s="18" t="s">
        <v>35</v>
      </c>
      <c r="D14" s="18">
        <v>26.076880056275666</v>
      </c>
      <c r="F14" s="52" t="s">
        <v>65</v>
      </c>
      <c r="G14" s="52"/>
      <c r="H14">
        <f>L10-J10</f>
        <v>41.5</v>
      </c>
    </row>
    <row r="15" spans="1:12" ht="15.75" thickBot="1" x14ac:dyDescent="0.3">
      <c r="A15" s="6">
        <v>15</v>
      </c>
      <c r="C15" s="18" t="s">
        <v>36</v>
      </c>
      <c r="D15" s="18">
        <v>680.00367346938765</v>
      </c>
      <c r="F15" t="s">
        <v>66</v>
      </c>
      <c r="G15">
        <f>L11-L10</f>
        <v>36</v>
      </c>
    </row>
    <row r="16" spans="1:12" ht="15.75" thickBot="1" x14ac:dyDescent="0.3">
      <c r="A16" s="6">
        <v>16</v>
      </c>
      <c r="C16" s="18" t="s">
        <v>37</v>
      </c>
      <c r="D16" s="18">
        <v>-0.76716841090311894</v>
      </c>
      <c r="F16" t="s">
        <v>67</v>
      </c>
      <c r="G16">
        <f>J10-J11</f>
        <v>17.5</v>
      </c>
    </row>
    <row r="17" spans="1:18" ht="15.75" thickBot="1" x14ac:dyDescent="0.3">
      <c r="A17" s="6">
        <v>16</v>
      </c>
      <c r="C17" s="18" t="s">
        <v>38</v>
      </c>
      <c r="D17" s="18">
        <v>0.5369419565768363</v>
      </c>
      <c r="F17" t="s">
        <v>68</v>
      </c>
      <c r="G17">
        <f>L10-K9</f>
        <v>30</v>
      </c>
    </row>
    <row r="18" spans="1:18" ht="15.75" thickBot="1" x14ac:dyDescent="0.3">
      <c r="A18" s="7">
        <v>18</v>
      </c>
      <c r="C18" s="18" t="s">
        <v>39</v>
      </c>
      <c r="D18" s="18">
        <v>95</v>
      </c>
      <c r="F18" t="s">
        <v>69</v>
      </c>
      <c r="G18">
        <f>K9-J10</f>
        <v>11.5</v>
      </c>
    </row>
    <row r="19" spans="1:18" ht="15.75" thickBot="1" x14ac:dyDescent="0.3">
      <c r="A19" s="8">
        <v>18</v>
      </c>
      <c r="C19" s="18" t="s">
        <v>15</v>
      </c>
      <c r="D19" s="18">
        <v>2</v>
      </c>
    </row>
    <row r="20" spans="1:18" ht="15.75" thickBot="1" x14ac:dyDescent="0.3">
      <c r="A20" s="8">
        <v>20</v>
      </c>
      <c r="C20" s="18" t="s">
        <v>22</v>
      </c>
      <c r="D20" s="18">
        <v>97</v>
      </c>
      <c r="F20" s="51" t="s">
        <v>70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18" ht="15.75" thickBot="1" x14ac:dyDescent="0.3">
      <c r="A21" s="8">
        <v>21</v>
      </c>
      <c r="C21" s="18" t="s">
        <v>40</v>
      </c>
      <c r="D21" s="18">
        <v>2021</v>
      </c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</row>
    <row r="22" spans="1:18" ht="15.75" thickBot="1" x14ac:dyDescent="0.3">
      <c r="A22" s="8">
        <v>22</v>
      </c>
      <c r="C22" s="19" t="s">
        <v>41</v>
      </c>
      <c r="D22" s="19">
        <v>50</v>
      </c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1:18" ht="15.75" thickBot="1" x14ac:dyDescent="0.3">
      <c r="A23" s="8">
        <v>22</v>
      </c>
    </row>
    <row r="24" spans="1:18" ht="15.75" thickBot="1" x14ac:dyDescent="0.3">
      <c r="A24" s="8">
        <v>23</v>
      </c>
    </row>
    <row r="25" spans="1:18" ht="15.75" thickBot="1" x14ac:dyDescent="0.3">
      <c r="A25" s="8">
        <v>24</v>
      </c>
    </row>
    <row r="26" spans="1:18" ht="15.75" thickBot="1" x14ac:dyDescent="0.3">
      <c r="A26" s="8">
        <v>25</v>
      </c>
    </row>
    <row r="27" spans="1:18" ht="15.75" thickBot="1" x14ac:dyDescent="0.3">
      <c r="A27" s="8">
        <v>25</v>
      </c>
    </row>
    <row r="28" spans="1:18" ht="15.75" thickBot="1" x14ac:dyDescent="0.3">
      <c r="A28" s="7">
        <v>26</v>
      </c>
    </row>
    <row r="29" spans="1:18" ht="15.75" thickBot="1" x14ac:dyDescent="0.3">
      <c r="A29" s="8">
        <v>27</v>
      </c>
    </row>
    <row r="30" spans="1:18" ht="15.75" thickBot="1" x14ac:dyDescent="0.3">
      <c r="A30" s="8">
        <v>29</v>
      </c>
    </row>
    <row r="31" spans="1:18" ht="15.75" thickBot="1" x14ac:dyDescent="0.3">
      <c r="A31" s="8">
        <v>29</v>
      </c>
    </row>
    <row r="32" spans="1:18" ht="15.75" thickBot="1" x14ac:dyDescent="0.3">
      <c r="A32" s="8">
        <v>30</v>
      </c>
    </row>
    <row r="33" spans="1:1" ht="15.75" thickBot="1" x14ac:dyDescent="0.3">
      <c r="A33" s="8">
        <v>32</v>
      </c>
    </row>
    <row r="34" spans="1:1" ht="15.75" thickBot="1" x14ac:dyDescent="0.3">
      <c r="A34" s="8">
        <v>36</v>
      </c>
    </row>
    <row r="35" spans="1:1" ht="15.75" thickBot="1" x14ac:dyDescent="0.3">
      <c r="A35" s="8">
        <v>42</v>
      </c>
    </row>
    <row r="36" spans="1:1" ht="15.75" thickBot="1" x14ac:dyDescent="0.3">
      <c r="A36" s="8">
        <v>44</v>
      </c>
    </row>
    <row r="37" spans="1:1" ht="15.75" thickBot="1" x14ac:dyDescent="0.3">
      <c r="A37" s="8">
        <v>45</v>
      </c>
    </row>
    <row r="38" spans="1:1" ht="15.75" thickBot="1" x14ac:dyDescent="0.3">
      <c r="A38" s="7">
        <v>45</v>
      </c>
    </row>
    <row r="39" spans="1:1" ht="15.75" thickBot="1" x14ac:dyDescent="0.3">
      <c r="A39" s="8">
        <v>46</v>
      </c>
    </row>
    <row r="40" spans="1:1" ht="15.75" thickBot="1" x14ac:dyDescent="0.3">
      <c r="A40" s="8">
        <v>48</v>
      </c>
    </row>
    <row r="41" spans="1:1" ht="15.75" thickBot="1" x14ac:dyDescent="0.3">
      <c r="A41" s="8">
        <v>52</v>
      </c>
    </row>
    <row r="42" spans="1:1" ht="15.75" thickBot="1" x14ac:dyDescent="0.3">
      <c r="A42" s="8">
        <v>58</v>
      </c>
    </row>
    <row r="43" spans="1:1" ht="15.75" thickBot="1" x14ac:dyDescent="0.3">
      <c r="A43" s="8">
        <v>59</v>
      </c>
    </row>
    <row r="44" spans="1:1" ht="15.75" thickBot="1" x14ac:dyDescent="0.3">
      <c r="A44" s="8">
        <v>61</v>
      </c>
    </row>
    <row r="45" spans="1:1" ht="15.75" thickBot="1" x14ac:dyDescent="0.3">
      <c r="A45" s="8">
        <v>61</v>
      </c>
    </row>
    <row r="46" spans="1:1" ht="15.75" thickBot="1" x14ac:dyDescent="0.3">
      <c r="A46" s="8">
        <v>61</v>
      </c>
    </row>
    <row r="47" spans="1:1" ht="15.75" thickBot="1" x14ac:dyDescent="0.3">
      <c r="A47" s="8">
        <v>65</v>
      </c>
    </row>
    <row r="48" spans="1:1" ht="15.75" thickBot="1" x14ac:dyDescent="0.3">
      <c r="A48" s="7">
        <v>66</v>
      </c>
    </row>
    <row r="49" spans="1:1" ht="15.75" thickBot="1" x14ac:dyDescent="0.3">
      <c r="A49" s="8">
        <v>66</v>
      </c>
    </row>
    <row r="50" spans="1:1" ht="15.75" thickBot="1" x14ac:dyDescent="0.3">
      <c r="A50" s="8">
        <v>68</v>
      </c>
    </row>
    <row r="51" spans="1:1" ht="15.75" thickBot="1" x14ac:dyDescent="0.3">
      <c r="A51" s="8">
        <v>75</v>
      </c>
    </row>
    <row r="52" spans="1:1" ht="15.75" thickBot="1" x14ac:dyDescent="0.3">
      <c r="A52" s="8">
        <v>78</v>
      </c>
    </row>
    <row r="53" spans="1:1" ht="15.75" thickBot="1" x14ac:dyDescent="0.3">
      <c r="A53" s="8">
        <v>80</v>
      </c>
    </row>
    <row r="54" spans="1:1" ht="15.75" thickBot="1" x14ac:dyDescent="0.3">
      <c r="A54" s="8">
        <v>89</v>
      </c>
    </row>
    <row r="55" spans="1:1" ht="15.75" thickBot="1" x14ac:dyDescent="0.3">
      <c r="A55" s="8">
        <v>90</v>
      </c>
    </row>
    <row r="56" spans="1:1" ht="15.75" thickBot="1" x14ac:dyDescent="0.3">
      <c r="A56" s="8">
        <v>92</v>
      </c>
    </row>
    <row r="57" spans="1:1" ht="15.75" thickBot="1" x14ac:dyDescent="0.3">
      <c r="A57" s="8">
        <v>97</v>
      </c>
    </row>
  </sheetData>
  <mergeCells count="2">
    <mergeCell ref="F14:G14"/>
    <mergeCell ref="F20:R2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N15" sqref="N15"/>
    </sheetView>
  </sheetViews>
  <sheetFormatPr defaultRowHeight="15" x14ac:dyDescent="0.25"/>
  <cols>
    <col min="1" max="1" width="16.5703125" bestFit="1" customWidth="1"/>
    <col min="2" max="2" width="10.85546875" bestFit="1" customWidth="1"/>
    <col min="3" max="3" width="12.7109375" bestFit="1" customWidth="1"/>
  </cols>
  <sheetData>
    <row r="1" spans="1:10" x14ac:dyDescent="0.25">
      <c r="A1" s="2" t="s">
        <v>71</v>
      </c>
      <c r="B1" s="2" t="s">
        <v>72</v>
      </c>
      <c r="C1" s="2" t="s">
        <v>73</v>
      </c>
      <c r="D1" s="30">
        <v>4</v>
      </c>
    </row>
    <row r="2" spans="1:10" x14ac:dyDescent="0.25">
      <c r="A2" s="2" t="s">
        <v>74</v>
      </c>
      <c r="B2" s="2">
        <v>10</v>
      </c>
      <c r="C2" s="2">
        <v>27.78</v>
      </c>
      <c r="D2" s="30">
        <v>4.5599999999999996</v>
      </c>
      <c r="F2" t="s">
        <v>15</v>
      </c>
      <c r="G2" s="17">
        <f>MIN(D1:D36)</f>
        <v>4</v>
      </c>
      <c r="I2" t="s">
        <v>3</v>
      </c>
      <c r="J2">
        <f>G4</f>
        <v>10.164999999999999</v>
      </c>
    </row>
    <row r="3" spans="1:10" x14ac:dyDescent="0.25">
      <c r="A3" s="2" t="s">
        <v>75</v>
      </c>
      <c r="B3" s="2">
        <v>12</v>
      </c>
      <c r="C3" s="2">
        <v>33.33</v>
      </c>
      <c r="D3" s="30">
        <v>5.25</v>
      </c>
      <c r="F3" t="s">
        <v>79</v>
      </c>
      <c r="G3">
        <f>_xlfn.QUARTILE.EXC(D1:D36,1)</f>
        <v>7.4775</v>
      </c>
      <c r="I3" t="s">
        <v>83</v>
      </c>
      <c r="J3">
        <f>G3</f>
        <v>7.4775</v>
      </c>
    </row>
    <row r="4" spans="1:10" x14ac:dyDescent="0.25">
      <c r="A4" s="2" t="s">
        <v>76</v>
      </c>
      <c r="B4" s="2">
        <v>8</v>
      </c>
      <c r="C4" s="2">
        <v>22.22</v>
      </c>
      <c r="D4" s="30">
        <v>5.73</v>
      </c>
      <c r="F4" t="s">
        <v>3</v>
      </c>
      <c r="G4">
        <f>_xlfn.QUARTILE.EXC(D1:D36,2)</f>
        <v>10.164999999999999</v>
      </c>
      <c r="I4" t="s">
        <v>84</v>
      </c>
      <c r="J4" s="17">
        <f>G6</f>
        <v>23.3</v>
      </c>
    </row>
    <row r="5" spans="1:10" x14ac:dyDescent="0.25">
      <c r="A5" s="2" t="s">
        <v>77</v>
      </c>
      <c r="B5" s="2">
        <v>5</v>
      </c>
      <c r="C5" s="2">
        <v>13.89</v>
      </c>
      <c r="D5" s="30">
        <v>6.26</v>
      </c>
      <c r="F5" t="s">
        <v>80</v>
      </c>
      <c r="G5">
        <f>_xlfn.QUARTILE.EXC(D1:D36,3)</f>
        <v>14.48</v>
      </c>
      <c r="I5" t="s">
        <v>85</v>
      </c>
      <c r="J5" s="17">
        <f>G2</f>
        <v>4</v>
      </c>
    </row>
    <row r="6" spans="1:10" x14ac:dyDescent="0.25">
      <c r="A6" s="2" t="s">
        <v>78</v>
      </c>
      <c r="B6" s="2">
        <v>1</v>
      </c>
      <c r="C6" s="2">
        <v>2.78</v>
      </c>
      <c r="D6" s="30">
        <v>6.66</v>
      </c>
      <c r="F6" t="s">
        <v>22</v>
      </c>
      <c r="G6" s="17">
        <f>MAX(D1:D36)</f>
        <v>23.3</v>
      </c>
      <c r="I6" t="s">
        <v>86</v>
      </c>
      <c r="J6">
        <f>G5</f>
        <v>14.48</v>
      </c>
    </row>
    <row r="7" spans="1:10" x14ac:dyDescent="0.25">
      <c r="A7" s="2" t="s">
        <v>27</v>
      </c>
      <c r="B7" s="2">
        <f>SUM(B2:B6)</f>
        <v>36</v>
      </c>
      <c r="C7" s="2">
        <f>SUM(C2:C6)</f>
        <v>100</v>
      </c>
      <c r="D7" s="30">
        <v>6.86</v>
      </c>
      <c r="F7" t="s">
        <v>81</v>
      </c>
      <c r="G7" s="17">
        <f>MAX((G3-(1.5)*($G$5-$G$3)),G2)</f>
        <v>4</v>
      </c>
    </row>
    <row r="8" spans="1:10" x14ac:dyDescent="0.25">
      <c r="D8" s="30">
        <v>7.39</v>
      </c>
      <c r="F8" t="s">
        <v>82</v>
      </c>
      <c r="G8" s="17">
        <f>MIN((G5+(1.5)*($G$5-$G$3)),G6)</f>
        <v>23.3</v>
      </c>
    </row>
    <row r="9" spans="1:10" x14ac:dyDescent="0.25">
      <c r="D9" s="30">
        <v>7.59</v>
      </c>
    </row>
    <row r="10" spans="1:10" x14ac:dyDescent="0.25">
      <c r="D10" s="30">
        <v>7.44</v>
      </c>
    </row>
    <row r="11" spans="1:10" x14ac:dyDescent="0.25">
      <c r="D11" s="30">
        <v>8.1199999999999992</v>
      </c>
    </row>
    <row r="12" spans="1:10" x14ac:dyDescent="0.25">
      <c r="D12" s="30">
        <v>8.4600000000000009</v>
      </c>
    </row>
    <row r="13" spans="1:10" x14ac:dyDescent="0.25">
      <c r="D13" s="30">
        <v>8.74</v>
      </c>
    </row>
    <row r="14" spans="1:10" x14ac:dyDescent="0.25">
      <c r="D14" s="30">
        <v>8.9499999999999993</v>
      </c>
    </row>
    <row r="15" spans="1:10" x14ac:dyDescent="0.25">
      <c r="D15" s="30">
        <v>9.1300000000000008</v>
      </c>
    </row>
    <row r="16" spans="1:10" x14ac:dyDescent="0.25">
      <c r="D16" s="30">
        <v>9.35</v>
      </c>
    </row>
    <row r="17" spans="4:4" x14ac:dyDescent="0.25">
      <c r="D17" s="30">
        <v>9.77</v>
      </c>
    </row>
    <row r="18" spans="4:4" x14ac:dyDescent="0.25">
      <c r="D18" s="30">
        <v>9.8000000000000007</v>
      </c>
    </row>
    <row r="19" spans="4:4" x14ac:dyDescent="0.25">
      <c r="D19" s="30">
        <v>10.53</v>
      </c>
    </row>
    <row r="20" spans="4:4" x14ac:dyDescent="0.25">
      <c r="D20" s="30">
        <v>10.76</v>
      </c>
    </row>
    <row r="21" spans="4:4" x14ac:dyDescent="0.25">
      <c r="D21" s="30">
        <v>11.06</v>
      </c>
    </row>
    <row r="22" spans="4:4" x14ac:dyDescent="0.25">
      <c r="D22" s="30">
        <v>11.59</v>
      </c>
    </row>
    <row r="23" spans="4:4" x14ac:dyDescent="0.25">
      <c r="D23" s="30">
        <v>12</v>
      </c>
    </row>
    <row r="24" spans="4:4" x14ac:dyDescent="0.25">
      <c r="D24" s="30">
        <v>12.79</v>
      </c>
    </row>
    <row r="25" spans="4:4" x14ac:dyDescent="0.25">
      <c r="D25" s="30">
        <v>13.23</v>
      </c>
    </row>
    <row r="26" spans="4:4" x14ac:dyDescent="0.25">
      <c r="D26" s="30">
        <v>13.6</v>
      </c>
    </row>
    <row r="27" spans="4:4" x14ac:dyDescent="0.25">
      <c r="D27" s="30">
        <v>13.85</v>
      </c>
    </row>
    <row r="28" spans="4:4" x14ac:dyDescent="0.25">
      <c r="D28" s="30">
        <v>14.69</v>
      </c>
    </row>
    <row r="29" spans="4:4" x14ac:dyDescent="0.25">
      <c r="D29" s="30">
        <v>14.71</v>
      </c>
    </row>
    <row r="30" spans="4:4" x14ac:dyDescent="0.25">
      <c r="D30" s="30">
        <v>15.99</v>
      </c>
    </row>
    <row r="31" spans="4:4" x14ac:dyDescent="0.25">
      <c r="D31" s="30">
        <v>16.22</v>
      </c>
    </row>
    <row r="32" spans="4:4" x14ac:dyDescent="0.25">
      <c r="D32" s="30">
        <v>16.61</v>
      </c>
    </row>
    <row r="33" spans="4:4" x14ac:dyDescent="0.25">
      <c r="D33" s="30">
        <v>17.260000000000002</v>
      </c>
    </row>
    <row r="34" spans="4:4" x14ac:dyDescent="0.25">
      <c r="D34" s="30">
        <v>18.75</v>
      </c>
    </row>
    <row r="35" spans="4:4" x14ac:dyDescent="0.25">
      <c r="D35" s="31">
        <v>19.399999999999999</v>
      </c>
    </row>
    <row r="36" spans="4:4" x14ac:dyDescent="0.25">
      <c r="D36" s="32">
        <v>23.3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L8" sqref="L8"/>
    </sheetView>
  </sheetViews>
  <sheetFormatPr defaultRowHeight="15" x14ac:dyDescent="0.25"/>
  <cols>
    <col min="1" max="1" width="18.42578125" bestFit="1" customWidth="1"/>
    <col min="2" max="2" width="14.85546875" bestFit="1" customWidth="1"/>
    <col min="3" max="4" width="14.85546875" customWidth="1"/>
    <col min="5" max="5" width="18.140625" bestFit="1" customWidth="1"/>
    <col min="7" max="7" width="9.85546875" bestFit="1" customWidth="1"/>
  </cols>
  <sheetData>
    <row r="1" spans="1:8" x14ac:dyDescent="0.25">
      <c r="A1" t="s">
        <v>87</v>
      </c>
      <c r="B1" t="s">
        <v>88</v>
      </c>
      <c r="C1" s="1" t="s">
        <v>99</v>
      </c>
      <c r="D1" t="s">
        <v>100</v>
      </c>
      <c r="E1" t="s">
        <v>101</v>
      </c>
      <c r="G1" t="s">
        <v>2</v>
      </c>
      <c r="H1">
        <f>SUM(D2:D6)/B7</f>
        <v>6.9</v>
      </c>
    </row>
    <row r="2" spans="1:8" x14ac:dyDescent="0.25">
      <c r="A2" t="s">
        <v>89</v>
      </c>
      <c r="B2">
        <v>2800</v>
      </c>
      <c r="C2">
        <v>3</v>
      </c>
      <c r="D2">
        <f>B2*C2</f>
        <v>8400</v>
      </c>
      <c r="E2">
        <f>((B2*(C2-$H$1)^2))</f>
        <v>42588.000000000007</v>
      </c>
      <c r="G2" t="s">
        <v>3</v>
      </c>
      <c r="H2">
        <f>SUM(3,3)/2</f>
        <v>3</v>
      </c>
    </row>
    <row r="3" spans="1:8" x14ac:dyDescent="0.25">
      <c r="A3" t="s">
        <v>90</v>
      </c>
      <c r="B3">
        <v>1400</v>
      </c>
      <c r="C3">
        <v>9</v>
      </c>
      <c r="D3">
        <f t="shared" ref="D3:D6" si="0">B3*C3</f>
        <v>12600</v>
      </c>
      <c r="E3">
        <f>((B3*(C3-$H$1)^2))</f>
        <v>6173.9999999999973</v>
      </c>
      <c r="G3" t="s">
        <v>94</v>
      </c>
      <c r="H3">
        <f>SUM(E2:E6)/B7</f>
        <v>27.63</v>
      </c>
    </row>
    <row r="4" spans="1:8" x14ac:dyDescent="0.25">
      <c r="A4" t="s">
        <v>91</v>
      </c>
      <c r="B4">
        <v>600</v>
      </c>
      <c r="C4">
        <v>15</v>
      </c>
      <c r="D4">
        <f t="shared" si="0"/>
        <v>9000</v>
      </c>
      <c r="E4">
        <f>((B4*(C4-$H$1)^2))</f>
        <v>39366</v>
      </c>
      <c r="G4" t="s">
        <v>95</v>
      </c>
      <c r="H4">
        <f>SQRT(H3)</f>
        <v>5.2564246403805699</v>
      </c>
    </row>
    <row r="5" spans="1:8" x14ac:dyDescent="0.25">
      <c r="A5" t="s">
        <v>92</v>
      </c>
      <c r="B5">
        <v>150</v>
      </c>
      <c r="C5">
        <v>21</v>
      </c>
      <c r="D5">
        <f t="shared" si="0"/>
        <v>3150</v>
      </c>
      <c r="E5">
        <f>((B5*(C5-$H$1)^2))</f>
        <v>29821.5</v>
      </c>
      <c r="G5" t="s">
        <v>96</v>
      </c>
      <c r="H5">
        <v>3</v>
      </c>
    </row>
    <row r="6" spans="1:8" x14ac:dyDescent="0.25">
      <c r="A6" t="s">
        <v>93</v>
      </c>
      <c r="B6">
        <v>50</v>
      </c>
      <c r="C6">
        <v>27</v>
      </c>
      <c r="D6">
        <f t="shared" si="0"/>
        <v>1350</v>
      </c>
      <c r="E6">
        <f>((B6*(C6-$H$1)^2))</f>
        <v>20200.500000000004</v>
      </c>
      <c r="G6" t="s">
        <v>97</v>
      </c>
      <c r="H6">
        <v>15</v>
      </c>
    </row>
    <row r="7" spans="1:8" x14ac:dyDescent="0.25">
      <c r="B7">
        <f>SUM(B2:B6)</f>
        <v>5000</v>
      </c>
      <c r="G7" t="s">
        <v>79</v>
      </c>
      <c r="H7">
        <v>3</v>
      </c>
    </row>
    <row r="8" spans="1:8" x14ac:dyDescent="0.25">
      <c r="G8" t="s">
        <v>80</v>
      </c>
      <c r="H8">
        <v>9</v>
      </c>
    </row>
    <row r="9" spans="1:8" x14ac:dyDescent="0.25">
      <c r="G9" t="s">
        <v>98</v>
      </c>
      <c r="H9">
        <f>H8-H7</f>
        <v>6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opLeftCell="C1" workbookViewId="0">
      <selection activeCell="O3" sqref="O3"/>
    </sheetView>
  </sheetViews>
  <sheetFormatPr defaultRowHeight="15" x14ac:dyDescent="0.25"/>
  <cols>
    <col min="1" max="1" width="9.140625" style="2"/>
    <col min="2" max="2" width="12.7109375" style="2" bestFit="1" customWidth="1"/>
    <col min="3" max="3" width="12" style="2" bestFit="1" customWidth="1"/>
    <col min="4" max="4" width="12.7109375" style="2" bestFit="1" customWidth="1"/>
    <col min="5" max="5" width="16.5703125" style="2" bestFit="1" customWidth="1"/>
    <col min="7" max="7" width="19.5703125" bestFit="1" customWidth="1"/>
    <col min="8" max="8" width="12.7109375" bestFit="1" customWidth="1"/>
    <col min="9" max="9" width="19.5703125" bestFit="1" customWidth="1"/>
    <col min="10" max="10" width="12.7109375" bestFit="1" customWidth="1"/>
    <col min="11" max="11" width="19.5703125" bestFit="1" customWidth="1"/>
    <col min="12" max="12" width="12" bestFit="1" customWidth="1"/>
    <col min="13" max="13" width="19.5703125" bestFit="1" customWidth="1"/>
    <col min="14" max="14" width="12.7109375" bestFit="1" customWidth="1"/>
    <col min="15" max="15" width="19.5703125" bestFit="1" customWidth="1"/>
    <col min="16" max="16" width="12.7109375" bestFit="1" customWidth="1"/>
  </cols>
  <sheetData>
    <row r="1" spans="1:16" ht="15.75" x14ac:dyDescent="0.25">
      <c r="A1" s="2" t="s">
        <v>31</v>
      </c>
      <c r="B1" s="2" t="s">
        <v>105</v>
      </c>
      <c r="C1" s="2" t="s">
        <v>106</v>
      </c>
      <c r="D1" s="2" t="s">
        <v>107</v>
      </c>
      <c r="E1" s="2" t="s">
        <v>108</v>
      </c>
      <c r="G1" s="53" t="s">
        <v>109</v>
      </c>
      <c r="H1" s="53"/>
      <c r="I1" s="54" t="s">
        <v>110</v>
      </c>
      <c r="J1" s="54"/>
      <c r="K1" s="55" t="s">
        <v>111</v>
      </c>
      <c r="L1" s="55"/>
      <c r="M1" s="56" t="s">
        <v>112</v>
      </c>
      <c r="N1" s="56"/>
      <c r="O1" s="57" t="s">
        <v>113</v>
      </c>
      <c r="P1" s="57"/>
    </row>
    <row r="2" spans="1:16" x14ac:dyDescent="0.25">
      <c r="A2" s="2" t="s">
        <v>109</v>
      </c>
      <c r="B2" s="2" t="s">
        <v>110</v>
      </c>
      <c r="C2" s="2" t="s">
        <v>111</v>
      </c>
      <c r="D2" s="2" t="s">
        <v>112</v>
      </c>
      <c r="E2" s="2" t="s">
        <v>113</v>
      </c>
      <c r="G2" s="33"/>
      <c r="H2" s="33"/>
      <c r="I2" s="35"/>
      <c r="J2" s="35"/>
      <c r="K2" s="37"/>
      <c r="L2" s="37"/>
      <c r="M2" s="39"/>
      <c r="N2" s="39"/>
      <c r="O2" s="41"/>
      <c r="P2" s="41"/>
    </row>
    <row r="3" spans="1:16" x14ac:dyDescent="0.25">
      <c r="A3" s="2">
        <v>13.275010840297909</v>
      </c>
      <c r="B3" s="2">
        <f>2*A3</f>
        <v>26.550021680595819</v>
      </c>
      <c r="C3" s="2">
        <f>A3+10</f>
        <v>23.275010840297909</v>
      </c>
      <c r="D3" s="2">
        <f>A3-AVERAGE($A$3:$A$102)</f>
        <v>3.7101452790011535</v>
      </c>
      <c r="E3" s="2">
        <f>D3/_xlfn.STDEV.P($A$3:$A$102)</f>
        <v>0.73311215874161784</v>
      </c>
      <c r="G3" s="33" t="s">
        <v>2</v>
      </c>
      <c r="H3" s="33">
        <v>9.5648655612967559</v>
      </c>
      <c r="I3" s="35" t="s">
        <v>2</v>
      </c>
      <c r="J3" s="35">
        <v>19.129731122593512</v>
      </c>
      <c r="K3" s="37" t="s">
        <v>2</v>
      </c>
      <c r="L3" s="37">
        <v>19.564865561296756</v>
      </c>
      <c r="M3" s="39" t="s">
        <v>2</v>
      </c>
      <c r="N3" s="39">
        <v>0</v>
      </c>
      <c r="O3" s="41" t="s">
        <v>2</v>
      </c>
      <c r="P3" s="41">
        <v>0</v>
      </c>
    </row>
    <row r="4" spans="1:16" x14ac:dyDescent="0.25">
      <c r="A4" s="2">
        <v>7.5325181367225014</v>
      </c>
      <c r="B4" s="2">
        <f t="shared" ref="B4:B67" si="0">2*A4</f>
        <v>15.065036273445003</v>
      </c>
      <c r="C4" s="2">
        <f t="shared" ref="C4:C67" si="1">A4+10</f>
        <v>17.532518136722501</v>
      </c>
      <c r="D4" s="2">
        <f t="shared" ref="D4:D67" si="2">A4-AVERAGE($A$3:$A$102)</f>
        <v>-2.0323474245742545</v>
      </c>
      <c r="E4" s="2">
        <f t="shared" ref="E4:E67" si="3">D4/_xlfn.STDEV.P($A$3:$A$102)</f>
        <v>-0.40158497732566439</v>
      </c>
      <c r="G4" s="33" t="s">
        <v>33</v>
      </c>
      <c r="H4" s="33">
        <v>0.50863108203008411</v>
      </c>
      <c r="I4" s="35" t="s">
        <v>33</v>
      </c>
      <c r="J4" s="35">
        <v>1.0172621640601682</v>
      </c>
      <c r="K4" s="37" t="s">
        <v>33</v>
      </c>
      <c r="L4" s="37">
        <v>0.50863108203008189</v>
      </c>
      <c r="M4" s="39" t="s">
        <v>33</v>
      </c>
      <c r="N4" s="39">
        <v>0.50863108203008356</v>
      </c>
      <c r="O4" s="41" t="s">
        <v>33</v>
      </c>
      <c r="P4" s="41">
        <v>0.10050378152592106</v>
      </c>
    </row>
    <row r="5" spans="1:16" x14ac:dyDescent="0.25">
      <c r="A5" s="2">
        <v>9.7166128196113277</v>
      </c>
      <c r="B5" s="2">
        <f t="shared" si="0"/>
        <v>19.433225639222655</v>
      </c>
      <c r="C5" s="2">
        <f t="shared" si="1"/>
        <v>19.716612819611328</v>
      </c>
      <c r="D5" s="2">
        <f t="shared" si="2"/>
        <v>0.15174725831457181</v>
      </c>
      <c r="E5" s="2">
        <f t="shared" si="3"/>
        <v>2.9984745006014377E-2</v>
      </c>
      <c r="G5" s="33" t="s">
        <v>3</v>
      </c>
      <c r="H5" s="33">
        <v>9.6343518660069094</v>
      </c>
      <c r="I5" s="35" t="s">
        <v>3</v>
      </c>
      <c r="J5" s="35">
        <v>19.268703732013819</v>
      </c>
      <c r="K5" s="37" t="s">
        <v>3</v>
      </c>
      <c r="L5" s="37">
        <v>19.634351866006909</v>
      </c>
      <c r="M5" s="39" t="s">
        <v>3</v>
      </c>
      <c r="N5" s="39">
        <v>6.948630471015349E-2</v>
      </c>
      <c r="O5" s="41" t="s">
        <v>3</v>
      </c>
      <c r="P5" s="41">
        <v>1.3730258795351781E-2</v>
      </c>
    </row>
    <row r="6" spans="1:16" x14ac:dyDescent="0.25">
      <c r="A6" s="2">
        <v>10.376536490875878</v>
      </c>
      <c r="B6" s="2">
        <f t="shared" si="0"/>
        <v>20.753072981751757</v>
      </c>
      <c r="C6" s="2">
        <f t="shared" si="1"/>
        <v>20.376536490875878</v>
      </c>
      <c r="D6" s="2">
        <f t="shared" si="2"/>
        <v>0.81167092957912246</v>
      </c>
      <c r="E6" s="2">
        <f t="shared" si="3"/>
        <v>0.16038343046549502</v>
      </c>
      <c r="G6" s="33" t="s">
        <v>34</v>
      </c>
      <c r="H6" s="33" t="e">
        <v>#N/A</v>
      </c>
      <c r="I6" s="35" t="s">
        <v>34</v>
      </c>
      <c r="J6" s="35" t="e">
        <v>#N/A</v>
      </c>
      <c r="K6" s="37" t="s">
        <v>34</v>
      </c>
      <c r="L6" s="37" t="e">
        <v>#N/A</v>
      </c>
      <c r="M6" s="39" t="s">
        <v>34</v>
      </c>
      <c r="N6" s="39" t="e">
        <v>#N/A</v>
      </c>
      <c r="O6" s="41" t="s">
        <v>34</v>
      </c>
      <c r="P6" s="41" t="e">
        <v>#N/A</v>
      </c>
    </row>
    <row r="7" spans="1:16" x14ac:dyDescent="0.25">
      <c r="A7" s="2">
        <v>13.339266640978167</v>
      </c>
      <c r="B7" s="2">
        <f t="shared" si="0"/>
        <v>26.678533281956334</v>
      </c>
      <c r="C7" s="2">
        <f t="shared" si="1"/>
        <v>23.339266640978167</v>
      </c>
      <c r="D7" s="2">
        <f t="shared" si="2"/>
        <v>3.7744010796814109</v>
      </c>
      <c r="E7" s="2">
        <f t="shared" si="3"/>
        <v>0.74580888763118214</v>
      </c>
      <c r="G7" s="33" t="s">
        <v>35</v>
      </c>
      <c r="H7" s="33">
        <v>5.0863108203008416</v>
      </c>
      <c r="I7" s="35" t="s">
        <v>35</v>
      </c>
      <c r="J7" s="35">
        <v>10.172621640601683</v>
      </c>
      <c r="K7" s="37" t="s">
        <v>35</v>
      </c>
      <c r="L7" s="37">
        <v>5.0863108203008185</v>
      </c>
      <c r="M7" s="39" t="s">
        <v>35</v>
      </c>
      <c r="N7" s="39">
        <v>5.0863108203008354</v>
      </c>
      <c r="O7" s="41" t="s">
        <v>35</v>
      </c>
      <c r="P7" s="41">
        <v>1.0050378152592105</v>
      </c>
    </row>
    <row r="8" spans="1:16" x14ac:dyDescent="0.25">
      <c r="A8" s="2">
        <v>8.3282805260387249</v>
      </c>
      <c r="B8" s="2">
        <f t="shared" si="0"/>
        <v>16.65656105207745</v>
      </c>
      <c r="C8" s="2">
        <f t="shared" si="1"/>
        <v>18.328280526038725</v>
      </c>
      <c r="D8" s="2">
        <f t="shared" si="2"/>
        <v>-1.236585035258031</v>
      </c>
      <c r="E8" s="2">
        <f t="shared" si="3"/>
        <v>-0.24434502061052926</v>
      </c>
      <c r="G8" s="33" t="s">
        <v>36</v>
      </c>
      <c r="H8" s="33">
        <v>25.870557760709421</v>
      </c>
      <c r="I8" s="35" t="s">
        <v>36</v>
      </c>
      <c r="J8" s="35">
        <v>103.48223104283768</v>
      </c>
      <c r="K8" s="37" t="s">
        <v>36</v>
      </c>
      <c r="L8" s="37">
        <v>25.870557760709183</v>
      </c>
      <c r="M8" s="39" t="s">
        <v>36</v>
      </c>
      <c r="N8" s="39">
        <v>25.870557760709357</v>
      </c>
      <c r="O8" s="41" t="s">
        <v>36</v>
      </c>
      <c r="P8" s="41">
        <v>1.0101010101010071</v>
      </c>
    </row>
    <row r="9" spans="1:16" x14ac:dyDescent="0.25">
      <c r="A9" s="2">
        <v>19.842415238381363</v>
      </c>
      <c r="B9" s="2">
        <f t="shared" si="0"/>
        <v>39.684830476762727</v>
      </c>
      <c r="C9" s="2">
        <f t="shared" si="1"/>
        <v>29.842415238381363</v>
      </c>
      <c r="D9" s="2">
        <f t="shared" si="2"/>
        <v>10.277549677084608</v>
      </c>
      <c r="E9" s="2">
        <f t="shared" si="3"/>
        <v>2.0308090556416647</v>
      </c>
      <c r="G9" s="33" t="s">
        <v>37</v>
      </c>
      <c r="H9" s="33">
        <v>0.10826194664942657</v>
      </c>
      <c r="I9" s="35" t="s">
        <v>37</v>
      </c>
      <c r="J9" s="35">
        <v>0.10826194664942657</v>
      </c>
      <c r="K9" s="37" t="s">
        <v>37</v>
      </c>
      <c r="L9" s="37">
        <v>0.10826194664942657</v>
      </c>
      <c r="M9" s="39" t="s">
        <v>37</v>
      </c>
      <c r="N9" s="39">
        <v>0.10826194664942657</v>
      </c>
      <c r="O9" s="41" t="s">
        <v>37</v>
      </c>
      <c r="P9" s="41">
        <v>0.10826194664942834</v>
      </c>
    </row>
    <row r="10" spans="1:16" x14ac:dyDescent="0.25">
      <c r="A10" s="2">
        <v>8.248790689103771</v>
      </c>
      <c r="B10" s="2">
        <f t="shared" si="0"/>
        <v>16.497581378207542</v>
      </c>
      <c r="C10" s="2">
        <f t="shared" si="1"/>
        <v>18.248790689103771</v>
      </c>
      <c r="D10" s="2">
        <f t="shared" si="2"/>
        <v>-1.3160748721929849</v>
      </c>
      <c r="E10" s="2">
        <f t="shared" si="3"/>
        <v>-0.26005194353972844</v>
      </c>
      <c r="G10" s="33" t="s">
        <v>38</v>
      </c>
      <c r="H10" s="33">
        <v>0.13709969026290494</v>
      </c>
      <c r="I10" s="35" t="s">
        <v>38</v>
      </c>
      <c r="J10" s="35">
        <v>0.13709969026290494</v>
      </c>
      <c r="K10" s="37" t="s">
        <v>38</v>
      </c>
      <c r="L10" s="37">
        <v>0.13709969026290494</v>
      </c>
      <c r="M10" s="39" t="s">
        <v>38</v>
      </c>
      <c r="N10" s="39">
        <v>0.13709969026290494</v>
      </c>
      <c r="O10" s="41" t="s">
        <v>38</v>
      </c>
      <c r="P10" s="41">
        <v>0.13709969026290492</v>
      </c>
    </row>
    <row r="11" spans="1:16" x14ac:dyDescent="0.25">
      <c r="A11" s="2">
        <v>6.2985214096988784</v>
      </c>
      <c r="B11" s="2">
        <f t="shared" si="0"/>
        <v>12.597042819397757</v>
      </c>
      <c r="C11" s="2">
        <f t="shared" si="1"/>
        <v>16.298521409698878</v>
      </c>
      <c r="D11" s="2">
        <f t="shared" si="2"/>
        <v>-3.2663441515978775</v>
      </c>
      <c r="E11" s="2">
        <f t="shared" si="3"/>
        <v>-0.64541855698320583</v>
      </c>
      <c r="G11" s="33" t="s">
        <v>39</v>
      </c>
      <c r="H11" s="33">
        <v>26.641100703272969</v>
      </c>
      <c r="I11" s="35" t="s">
        <v>39</v>
      </c>
      <c r="J11" s="35">
        <v>53.282201406545937</v>
      </c>
      <c r="K11" s="37" t="s">
        <v>39</v>
      </c>
      <c r="L11" s="37">
        <v>26.641100703272969</v>
      </c>
      <c r="M11" s="39" t="s">
        <v>39</v>
      </c>
      <c r="N11" s="39">
        <v>26.641100703272969</v>
      </c>
      <c r="O11" s="41" t="s">
        <v>39</v>
      </c>
      <c r="P11" s="41">
        <v>5.26419139389803</v>
      </c>
    </row>
    <row r="12" spans="1:16" x14ac:dyDescent="0.25">
      <c r="A12" s="2">
        <v>3.3770595816895366</v>
      </c>
      <c r="B12" s="2">
        <f t="shared" si="0"/>
        <v>6.7541191633790731</v>
      </c>
      <c r="C12" s="2">
        <f t="shared" si="1"/>
        <v>13.377059581689537</v>
      </c>
      <c r="D12" s="2">
        <f t="shared" si="2"/>
        <v>-6.1878059796072193</v>
      </c>
      <c r="E12" s="2">
        <f t="shared" si="3"/>
        <v>-1.2226895332803298</v>
      </c>
      <c r="G12" s="33" t="s">
        <v>15</v>
      </c>
      <c r="H12" s="33">
        <v>-4.6093952935189009</v>
      </c>
      <c r="I12" s="35" t="s">
        <v>15</v>
      </c>
      <c r="J12" s="35">
        <v>-9.2187905870378017</v>
      </c>
      <c r="K12" s="37" t="s">
        <v>15</v>
      </c>
      <c r="L12" s="37">
        <v>5.3906047064810991</v>
      </c>
      <c r="M12" s="39" t="s">
        <v>15</v>
      </c>
      <c r="N12" s="39">
        <v>-14.174260854815657</v>
      </c>
      <c r="O12" s="41" t="s">
        <v>15</v>
      </c>
      <c r="P12" s="41">
        <v>-2.8007860049723634</v>
      </c>
    </row>
    <row r="13" spans="1:16" x14ac:dyDescent="0.25">
      <c r="A13" s="2">
        <v>19.057271199708339</v>
      </c>
      <c r="B13" s="2">
        <f t="shared" si="0"/>
        <v>38.114542399416678</v>
      </c>
      <c r="C13" s="2">
        <f t="shared" si="1"/>
        <v>29.057271199708339</v>
      </c>
      <c r="D13" s="2">
        <f t="shared" si="2"/>
        <v>9.4924056384115829</v>
      </c>
      <c r="E13" s="2">
        <f t="shared" si="3"/>
        <v>1.8756672491004245</v>
      </c>
      <c r="G13" s="33" t="s">
        <v>22</v>
      </c>
      <c r="H13" s="33">
        <v>22.031705409754068</v>
      </c>
      <c r="I13" s="35" t="s">
        <v>22</v>
      </c>
      <c r="J13" s="35">
        <v>44.063410819508135</v>
      </c>
      <c r="K13" s="37" t="s">
        <v>22</v>
      </c>
      <c r="L13" s="37">
        <v>32.031705409754068</v>
      </c>
      <c r="M13" s="39" t="s">
        <v>22</v>
      </c>
      <c r="N13" s="39">
        <v>12.466839848457312</v>
      </c>
      <c r="O13" s="41" t="s">
        <v>22</v>
      </c>
      <c r="P13" s="41">
        <v>2.4634053889256666</v>
      </c>
    </row>
    <row r="14" spans="1:16" x14ac:dyDescent="0.25">
      <c r="A14" s="2">
        <v>16.889763426443096</v>
      </c>
      <c r="B14" s="2">
        <f t="shared" si="0"/>
        <v>33.779526852886193</v>
      </c>
      <c r="C14" s="2">
        <f t="shared" si="1"/>
        <v>26.889763426443096</v>
      </c>
      <c r="D14" s="2">
        <f t="shared" si="2"/>
        <v>7.3248978651463403</v>
      </c>
      <c r="E14" s="2">
        <f t="shared" si="3"/>
        <v>1.4473750440104078</v>
      </c>
      <c r="G14" s="33" t="s">
        <v>40</v>
      </c>
      <c r="H14" s="33">
        <v>956.48655612967559</v>
      </c>
      <c r="I14" s="35" t="s">
        <v>40</v>
      </c>
      <c r="J14" s="35">
        <v>1912.9731122593512</v>
      </c>
      <c r="K14" s="37" t="s">
        <v>40</v>
      </c>
      <c r="L14" s="37">
        <v>1956.4865561296756</v>
      </c>
      <c r="M14" s="39" t="s">
        <v>40</v>
      </c>
      <c r="N14" s="39">
        <v>0</v>
      </c>
      <c r="O14" s="41" t="s">
        <v>40</v>
      </c>
      <c r="P14" s="41">
        <v>0</v>
      </c>
    </row>
    <row r="15" spans="1:16" ht="15.75" thickBot="1" x14ac:dyDescent="0.3">
      <c r="A15" s="2">
        <v>-4.6093952935189009</v>
      </c>
      <c r="B15" s="2">
        <f t="shared" si="0"/>
        <v>-9.2187905870378017</v>
      </c>
      <c r="C15" s="2">
        <f t="shared" si="1"/>
        <v>5.3906047064810991</v>
      </c>
      <c r="D15" s="2">
        <f t="shared" si="2"/>
        <v>-14.174260854815657</v>
      </c>
      <c r="E15" s="2">
        <f t="shared" si="3"/>
        <v>-2.8007860049723634</v>
      </c>
      <c r="G15" s="34" t="s">
        <v>41</v>
      </c>
      <c r="H15" s="34">
        <v>100</v>
      </c>
      <c r="I15" s="36" t="s">
        <v>41</v>
      </c>
      <c r="J15" s="36">
        <v>100</v>
      </c>
      <c r="K15" s="38" t="s">
        <v>41</v>
      </c>
      <c r="L15" s="38">
        <v>100</v>
      </c>
      <c r="M15" s="40" t="s">
        <v>41</v>
      </c>
      <c r="N15" s="40">
        <v>100</v>
      </c>
      <c r="O15" s="42" t="s">
        <v>41</v>
      </c>
      <c r="P15" s="42">
        <v>100</v>
      </c>
    </row>
    <row r="16" spans="1:16" x14ac:dyDescent="0.25">
      <c r="A16" s="2">
        <v>10.025818280846579</v>
      </c>
      <c r="B16" s="2">
        <f t="shared" si="0"/>
        <v>20.051636561693158</v>
      </c>
      <c r="C16" s="2">
        <f t="shared" si="1"/>
        <v>20.025818280846579</v>
      </c>
      <c r="D16" s="2">
        <f t="shared" si="2"/>
        <v>0.46095271954982309</v>
      </c>
      <c r="E16" s="2">
        <f t="shared" si="3"/>
        <v>9.1082698356752215E-2</v>
      </c>
    </row>
    <row r="17" spans="1:5" x14ac:dyDescent="0.25">
      <c r="A17" s="2">
        <v>10.075544903666014</v>
      </c>
      <c r="B17" s="2">
        <f t="shared" si="0"/>
        <v>20.151089807332028</v>
      </c>
      <c r="C17" s="2">
        <f t="shared" si="1"/>
        <v>20.075544903666014</v>
      </c>
      <c r="D17" s="2">
        <f t="shared" si="2"/>
        <v>0.51067934236925794</v>
      </c>
      <c r="E17" s="2">
        <f t="shared" si="3"/>
        <v>0.10090851084135134</v>
      </c>
    </row>
    <row r="18" spans="1:5" x14ac:dyDescent="0.25">
      <c r="A18" s="2">
        <v>4.6662001093500294</v>
      </c>
      <c r="B18" s="2">
        <f t="shared" si="0"/>
        <v>9.3324002187000588</v>
      </c>
      <c r="C18" s="2">
        <f t="shared" si="1"/>
        <v>14.666200109350029</v>
      </c>
      <c r="D18" s="2">
        <f t="shared" si="2"/>
        <v>-4.8986654519467265</v>
      </c>
      <c r="E18" s="2">
        <f t="shared" si="3"/>
        <v>-0.96795972512334905</v>
      </c>
    </row>
    <row r="19" spans="1:5" x14ac:dyDescent="0.25">
      <c r="A19" s="2">
        <v>7.2999489727953915</v>
      </c>
      <c r="B19" s="2">
        <f t="shared" si="0"/>
        <v>14.599897945590783</v>
      </c>
      <c r="C19" s="2">
        <f t="shared" si="1"/>
        <v>17.299948972795391</v>
      </c>
      <c r="D19" s="2">
        <f t="shared" si="2"/>
        <v>-2.2649165885013645</v>
      </c>
      <c r="E19" s="2">
        <f t="shared" si="3"/>
        <v>-0.44753985752626901</v>
      </c>
    </row>
    <row r="20" spans="1:5" x14ac:dyDescent="0.25">
      <c r="A20" s="2">
        <v>4.2290287435753271</v>
      </c>
      <c r="B20" s="2">
        <f t="shared" si="0"/>
        <v>8.4580574871506542</v>
      </c>
      <c r="C20" s="2">
        <f t="shared" si="1"/>
        <v>14.229028743575327</v>
      </c>
      <c r="D20" s="2">
        <f t="shared" si="2"/>
        <v>-5.3358368177214288</v>
      </c>
      <c r="E20" s="2">
        <f t="shared" si="3"/>
        <v>-1.0543433084070195</v>
      </c>
    </row>
    <row r="21" spans="1:5" x14ac:dyDescent="0.25">
      <c r="A21" s="2">
        <v>15.539664016396273</v>
      </c>
      <c r="B21" s="2">
        <f t="shared" si="0"/>
        <v>31.079328032792546</v>
      </c>
      <c r="C21" s="2">
        <f t="shared" si="1"/>
        <v>25.539664016396273</v>
      </c>
      <c r="D21" s="2">
        <f t="shared" si="2"/>
        <v>5.974798455099517</v>
      </c>
      <c r="E21" s="2">
        <f t="shared" si="3"/>
        <v>1.1805999668679628</v>
      </c>
    </row>
    <row r="22" spans="1:5" x14ac:dyDescent="0.25">
      <c r="A22" s="2">
        <v>5.7555928631336428</v>
      </c>
      <c r="B22" s="2">
        <f t="shared" si="0"/>
        <v>11.511185726267286</v>
      </c>
      <c r="C22" s="2">
        <f t="shared" si="1"/>
        <v>15.755592863133643</v>
      </c>
      <c r="D22" s="2">
        <f t="shared" si="2"/>
        <v>-3.8092726981631131</v>
      </c>
      <c r="E22" s="2">
        <f t="shared" si="3"/>
        <v>-0.75269940150098325</v>
      </c>
    </row>
    <row r="23" spans="1:5" x14ac:dyDescent="0.25">
      <c r="A23" s="2">
        <v>7.1053739500348456</v>
      </c>
      <c r="B23" s="2">
        <f t="shared" si="0"/>
        <v>14.210747900069691</v>
      </c>
      <c r="C23" s="2">
        <f t="shared" si="1"/>
        <v>17.105373950034846</v>
      </c>
      <c r="D23" s="2">
        <f t="shared" si="2"/>
        <v>-2.4594916112619103</v>
      </c>
      <c r="E23" s="2">
        <f t="shared" si="3"/>
        <v>-0.48598722393548577</v>
      </c>
    </row>
    <row r="24" spans="1:5" x14ac:dyDescent="0.25">
      <c r="A24" s="2">
        <v>1.2133034740691073</v>
      </c>
      <c r="B24" s="2">
        <f t="shared" si="0"/>
        <v>2.4266069481382146</v>
      </c>
      <c r="C24" s="2">
        <f t="shared" si="1"/>
        <v>11.213303474069107</v>
      </c>
      <c r="D24" s="2">
        <f t="shared" si="2"/>
        <v>-8.3515620872276486</v>
      </c>
      <c r="E24" s="2">
        <f t="shared" si="3"/>
        <v>-1.6502404219277498</v>
      </c>
    </row>
    <row r="25" spans="1:5" x14ac:dyDescent="0.25">
      <c r="A25" s="2">
        <v>10.046475179260597</v>
      </c>
      <c r="B25" s="2">
        <f t="shared" si="0"/>
        <v>20.092950358521193</v>
      </c>
      <c r="C25" s="2">
        <f t="shared" si="1"/>
        <v>20.046475179260597</v>
      </c>
      <c r="D25" s="2">
        <f t="shared" si="2"/>
        <v>0.48160961796384072</v>
      </c>
      <c r="E25" s="2">
        <f t="shared" si="3"/>
        <v>9.5164431617958567E-2</v>
      </c>
    </row>
    <row r="26" spans="1:5" x14ac:dyDescent="0.25">
      <c r="A26" s="2">
        <v>3.7493157631251961</v>
      </c>
      <c r="B26" s="2">
        <f t="shared" si="0"/>
        <v>7.4986315262503922</v>
      </c>
      <c r="C26" s="2">
        <f t="shared" si="1"/>
        <v>13.749315763125196</v>
      </c>
      <c r="D26" s="2">
        <f t="shared" si="2"/>
        <v>-5.8155497981715598</v>
      </c>
      <c r="E26" s="2">
        <f t="shared" si="3"/>
        <v>-1.1491329708670437</v>
      </c>
    </row>
    <row r="27" spans="1:5" x14ac:dyDescent="0.25">
      <c r="A27" s="2">
        <v>5.5068233248312026</v>
      </c>
      <c r="B27" s="2">
        <f t="shared" si="0"/>
        <v>11.013646649662405</v>
      </c>
      <c r="C27" s="2">
        <f t="shared" si="1"/>
        <v>15.506823324831203</v>
      </c>
      <c r="D27" s="2">
        <f t="shared" si="2"/>
        <v>-4.0580422364655533</v>
      </c>
      <c r="E27" s="2">
        <f t="shared" si="3"/>
        <v>-0.80185542088552797</v>
      </c>
    </row>
    <row r="28" spans="1:5" x14ac:dyDescent="0.25">
      <c r="A28" s="2">
        <v>5.579662481759442</v>
      </c>
      <c r="B28" s="2">
        <f t="shared" si="0"/>
        <v>11.159324963518884</v>
      </c>
      <c r="C28" s="2">
        <f t="shared" si="1"/>
        <v>15.579662481759442</v>
      </c>
      <c r="D28" s="2">
        <f t="shared" si="2"/>
        <v>-3.9852030795373139</v>
      </c>
      <c r="E28" s="2">
        <f t="shared" si="3"/>
        <v>-0.787462649831841</v>
      </c>
    </row>
    <row r="29" spans="1:5" x14ac:dyDescent="0.25">
      <c r="A29" s="2">
        <v>6.989254213985987</v>
      </c>
      <c r="B29" s="2">
        <f t="shared" si="0"/>
        <v>13.978508427971974</v>
      </c>
      <c r="C29" s="2">
        <f t="shared" si="1"/>
        <v>16.989254213985987</v>
      </c>
      <c r="D29" s="2">
        <f t="shared" si="2"/>
        <v>-2.5756113473107689</v>
      </c>
      <c r="E29" s="2">
        <f t="shared" si="3"/>
        <v>-0.50893209104058312</v>
      </c>
    </row>
    <row r="30" spans="1:5" x14ac:dyDescent="0.25">
      <c r="A30" s="2">
        <v>13.751472377189202</v>
      </c>
      <c r="B30" s="2">
        <f t="shared" si="0"/>
        <v>27.502944754378404</v>
      </c>
      <c r="C30" s="2">
        <f t="shared" si="1"/>
        <v>23.751472377189202</v>
      </c>
      <c r="D30" s="2">
        <f t="shared" si="2"/>
        <v>4.1866068158924463</v>
      </c>
      <c r="E30" s="2">
        <f t="shared" si="3"/>
        <v>0.82725934695139147</v>
      </c>
    </row>
    <row r="31" spans="1:5" x14ac:dyDescent="0.25">
      <c r="A31" s="2">
        <v>8.3133079695107881</v>
      </c>
      <c r="B31" s="2">
        <f t="shared" si="0"/>
        <v>16.626615939021576</v>
      </c>
      <c r="C31" s="2">
        <f t="shared" si="1"/>
        <v>18.313307969510788</v>
      </c>
      <c r="D31" s="2">
        <f t="shared" si="2"/>
        <v>-1.2515575917859678</v>
      </c>
      <c r="E31" s="2">
        <f t="shared" si="3"/>
        <v>-0.24730354714052857</v>
      </c>
    </row>
    <row r="32" spans="1:5" x14ac:dyDescent="0.25">
      <c r="A32" s="2">
        <v>12.905943574660341</v>
      </c>
      <c r="B32" s="2">
        <f t="shared" si="0"/>
        <v>25.811887149320683</v>
      </c>
      <c r="C32" s="2">
        <f t="shared" si="1"/>
        <v>22.905943574660341</v>
      </c>
      <c r="D32" s="2">
        <f t="shared" si="2"/>
        <v>3.3410780133635853</v>
      </c>
      <c r="E32" s="2">
        <f t="shared" si="3"/>
        <v>0.66018571530453873</v>
      </c>
    </row>
    <row r="33" spans="1:5" x14ac:dyDescent="0.25">
      <c r="A33" s="2">
        <v>10.097730890047387</v>
      </c>
      <c r="B33" s="2">
        <f t="shared" si="0"/>
        <v>20.195461780094774</v>
      </c>
      <c r="C33" s="2">
        <f t="shared" si="1"/>
        <v>20.097730890047387</v>
      </c>
      <c r="D33" s="2">
        <f t="shared" si="2"/>
        <v>0.53286532875063131</v>
      </c>
      <c r="E33" s="2">
        <f t="shared" si="3"/>
        <v>0.1052923867132524</v>
      </c>
    </row>
    <row r="34" spans="1:5" x14ac:dyDescent="0.25">
      <c r="A34" s="2">
        <v>8.3593966135231312</v>
      </c>
      <c r="B34" s="2">
        <f t="shared" si="0"/>
        <v>16.718793227046262</v>
      </c>
      <c r="C34" s="2">
        <f t="shared" si="1"/>
        <v>18.359396613523131</v>
      </c>
      <c r="D34" s="2">
        <f t="shared" si="2"/>
        <v>-1.2054689477736247</v>
      </c>
      <c r="E34" s="2">
        <f t="shared" si="3"/>
        <v>-0.23819658696390195</v>
      </c>
    </row>
    <row r="35" spans="1:5" x14ac:dyDescent="0.25">
      <c r="A35" s="2">
        <v>7.6958292791096028</v>
      </c>
      <c r="B35" s="2">
        <f t="shared" si="0"/>
        <v>15.391658558219206</v>
      </c>
      <c r="C35" s="2">
        <f t="shared" si="1"/>
        <v>17.695829279109603</v>
      </c>
      <c r="D35" s="2">
        <f t="shared" si="2"/>
        <v>-1.8690362821871531</v>
      </c>
      <c r="E35" s="2">
        <f t="shared" si="3"/>
        <v>-0.36931524793808629</v>
      </c>
    </row>
    <row r="36" spans="1:5" x14ac:dyDescent="0.25">
      <c r="A36" s="2">
        <v>12.053064918072778</v>
      </c>
      <c r="B36" s="2">
        <f t="shared" si="0"/>
        <v>24.106129836145556</v>
      </c>
      <c r="C36" s="2">
        <f t="shared" si="1"/>
        <v>22.053064918072778</v>
      </c>
      <c r="D36" s="2">
        <f t="shared" si="2"/>
        <v>2.4881993567760219</v>
      </c>
      <c r="E36" s="2">
        <f t="shared" si="3"/>
        <v>0.49165977735423527</v>
      </c>
    </row>
    <row r="37" spans="1:5" x14ac:dyDescent="0.25">
      <c r="A37" s="2">
        <v>4.3927150525269099</v>
      </c>
      <c r="B37" s="2">
        <f t="shared" si="0"/>
        <v>8.7854301050538197</v>
      </c>
      <c r="C37" s="2">
        <f t="shared" si="1"/>
        <v>14.39271505252691</v>
      </c>
      <c r="D37" s="2">
        <f t="shared" si="2"/>
        <v>-5.1721505087698461</v>
      </c>
      <c r="E37" s="2">
        <f t="shared" si="3"/>
        <v>-1.0219994473751819</v>
      </c>
    </row>
    <row r="38" spans="1:5" x14ac:dyDescent="0.25">
      <c r="A38" s="2">
        <v>11.427298457201687</v>
      </c>
      <c r="B38" s="2">
        <f t="shared" si="0"/>
        <v>22.854596914403373</v>
      </c>
      <c r="C38" s="2">
        <f t="shared" si="1"/>
        <v>21.427298457201687</v>
      </c>
      <c r="D38" s="2">
        <f t="shared" si="2"/>
        <v>1.8624328959049308</v>
      </c>
      <c r="E38" s="2">
        <f t="shared" si="3"/>
        <v>0.36801044114257769</v>
      </c>
    </row>
    <row r="39" spans="1:5" x14ac:dyDescent="0.25">
      <c r="A39" s="2">
        <v>18.183633326552808</v>
      </c>
      <c r="B39" s="2">
        <f t="shared" si="0"/>
        <v>36.367266653105617</v>
      </c>
      <c r="C39" s="2">
        <f t="shared" si="1"/>
        <v>28.183633326552808</v>
      </c>
      <c r="D39" s="2">
        <f t="shared" si="2"/>
        <v>8.6187677652560524</v>
      </c>
      <c r="E39" s="2">
        <f t="shared" si="3"/>
        <v>1.7030393601677529</v>
      </c>
    </row>
    <row r="40" spans="1:5" x14ac:dyDescent="0.25">
      <c r="A40" s="2">
        <v>12.424803824396804</v>
      </c>
      <c r="B40" s="2">
        <f t="shared" si="0"/>
        <v>24.849607648793608</v>
      </c>
      <c r="C40" s="2">
        <f t="shared" si="1"/>
        <v>22.424803824396804</v>
      </c>
      <c r="D40" s="2">
        <f t="shared" si="2"/>
        <v>2.8599382631000481</v>
      </c>
      <c r="E40" s="2">
        <f t="shared" si="3"/>
        <v>0.56511412795498173</v>
      </c>
    </row>
    <row r="41" spans="1:5" x14ac:dyDescent="0.25">
      <c r="A41" s="2">
        <v>9.5586051682039397</v>
      </c>
      <c r="B41" s="2">
        <f t="shared" si="0"/>
        <v>19.117210336407879</v>
      </c>
      <c r="C41" s="2">
        <f t="shared" si="1"/>
        <v>19.55860516820394</v>
      </c>
      <c r="D41" s="2">
        <f t="shared" si="2"/>
        <v>-6.2603930928162299E-3</v>
      </c>
      <c r="E41" s="2">
        <f t="shared" si="3"/>
        <v>-1.2370325013475552E-3</v>
      </c>
    </row>
    <row r="42" spans="1:5" x14ac:dyDescent="0.25">
      <c r="A42" s="2">
        <v>18.99290171219036</v>
      </c>
      <c r="B42" s="2">
        <f t="shared" si="0"/>
        <v>37.98580342438072</v>
      </c>
      <c r="C42" s="2">
        <f t="shared" si="1"/>
        <v>28.99290171219036</v>
      </c>
      <c r="D42" s="2">
        <f t="shared" si="2"/>
        <v>9.4280361508936039</v>
      </c>
      <c r="E42" s="2">
        <f t="shared" si="3"/>
        <v>1.8629480560762359</v>
      </c>
    </row>
    <row r="43" spans="1:5" x14ac:dyDescent="0.25">
      <c r="A43" s="2">
        <v>1.6911974651156925</v>
      </c>
      <c r="B43" s="2">
        <f t="shared" si="0"/>
        <v>3.3823949302313849</v>
      </c>
      <c r="C43" s="2">
        <f t="shared" si="1"/>
        <v>11.691197465115692</v>
      </c>
      <c r="D43" s="2">
        <f t="shared" si="2"/>
        <v>-7.8736680961810634</v>
      </c>
      <c r="E43" s="2">
        <f t="shared" si="3"/>
        <v>-1.5558101856217121</v>
      </c>
    </row>
    <row r="44" spans="1:5" x14ac:dyDescent="0.25">
      <c r="A44" s="2">
        <v>7.2034174788859673</v>
      </c>
      <c r="B44" s="2">
        <f t="shared" si="0"/>
        <v>14.406834957771935</v>
      </c>
      <c r="C44" s="2">
        <f t="shared" si="1"/>
        <v>17.203417478885967</v>
      </c>
      <c r="D44" s="2">
        <f t="shared" si="2"/>
        <v>-2.3614480824107886</v>
      </c>
      <c r="E44" s="2">
        <f t="shared" si="3"/>
        <v>-0.46661415423562685</v>
      </c>
    </row>
    <row r="45" spans="1:5" x14ac:dyDescent="0.25">
      <c r="A45" s="2">
        <v>15.8106138567382</v>
      </c>
      <c r="B45" s="2">
        <f t="shared" si="0"/>
        <v>31.621227713476401</v>
      </c>
      <c r="C45" s="2">
        <f t="shared" si="1"/>
        <v>25.8106138567382</v>
      </c>
      <c r="D45" s="2">
        <f t="shared" si="2"/>
        <v>6.2457482954414445</v>
      </c>
      <c r="E45" s="2">
        <f t="shared" si="3"/>
        <v>1.2341387389176772</v>
      </c>
    </row>
    <row r="46" spans="1:5" x14ac:dyDescent="0.25">
      <c r="A46" s="2">
        <v>7.7153720465139486</v>
      </c>
      <c r="B46" s="2">
        <f t="shared" si="0"/>
        <v>15.430744093027897</v>
      </c>
      <c r="C46" s="2">
        <f t="shared" si="1"/>
        <v>17.715372046513949</v>
      </c>
      <c r="D46" s="2">
        <f t="shared" si="2"/>
        <v>-1.8494935147828073</v>
      </c>
      <c r="E46" s="2">
        <f t="shared" si="3"/>
        <v>-0.36545366319619654</v>
      </c>
    </row>
    <row r="47" spans="1:5" x14ac:dyDescent="0.25">
      <c r="A47" s="2">
        <v>8.9881359852006426</v>
      </c>
      <c r="B47" s="2">
        <f t="shared" si="0"/>
        <v>17.976271970401285</v>
      </c>
      <c r="C47" s="2">
        <f t="shared" si="1"/>
        <v>18.988135985200643</v>
      </c>
      <c r="D47" s="2">
        <f t="shared" si="2"/>
        <v>-0.57672957609611331</v>
      </c>
      <c r="E47" s="2">
        <f t="shared" si="3"/>
        <v>-0.1139598136318231</v>
      </c>
    </row>
    <row r="48" spans="1:5" x14ac:dyDescent="0.25">
      <c r="A48" s="2">
        <v>3.2087234810751397</v>
      </c>
      <c r="B48" s="2">
        <f t="shared" si="0"/>
        <v>6.4174469621502794</v>
      </c>
      <c r="C48" s="2">
        <f t="shared" si="1"/>
        <v>13.20872348107514</v>
      </c>
      <c r="D48" s="2">
        <f t="shared" si="2"/>
        <v>-6.3561420802216162</v>
      </c>
      <c r="E48" s="2">
        <f t="shared" si="3"/>
        <v>-1.2559521774182949</v>
      </c>
    </row>
    <row r="49" spans="1:5" x14ac:dyDescent="0.25">
      <c r="A49" s="2">
        <v>17.604194252053276</v>
      </c>
      <c r="B49" s="2">
        <f t="shared" si="0"/>
        <v>35.208388504106551</v>
      </c>
      <c r="C49" s="2">
        <f t="shared" si="1"/>
        <v>27.604194252053276</v>
      </c>
      <c r="D49" s="2">
        <f t="shared" si="2"/>
        <v>8.0393286907565198</v>
      </c>
      <c r="E49" s="2">
        <f t="shared" si="3"/>
        <v>1.5885441588154328</v>
      </c>
    </row>
    <row r="50" spans="1:5" x14ac:dyDescent="0.25">
      <c r="A50" s="2">
        <v>5.5847442834055983</v>
      </c>
      <c r="B50" s="2">
        <f t="shared" si="0"/>
        <v>11.169488566811197</v>
      </c>
      <c r="C50" s="2">
        <f t="shared" si="1"/>
        <v>15.584744283405598</v>
      </c>
      <c r="D50" s="2">
        <f t="shared" si="2"/>
        <v>-3.9801212778911577</v>
      </c>
      <c r="E50" s="2">
        <f t="shared" si="3"/>
        <v>-0.78645850301414189</v>
      </c>
    </row>
    <row r="51" spans="1:5" x14ac:dyDescent="0.25">
      <c r="A51" s="2">
        <v>9.7602799339802004</v>
      </c>
      <c r="B51" s="2">
        <f t="shared" si="0"/>
        <v>19.520559867960401</v>
      </c>
      <c r="C51" s="2">
        <f t="shared" si="1"/>
        <v>19.7602799339802</v>
      </c>
      <c r="D51" s="2">
        <f t="shared" si="2"/>
        <v>0.19541437268344453</v>
      </c>
      <c r="E51" s="2">
        <f t="shared" si="3"/>
        <v>3.8613219115146813E-2</v>
      </c>
    </row>
    <row r="52" spans="1:5" x14ac:dyDescent="0.25">
      <c r="A52" s="2">
        <v>11.422120021743467</v>
      </c>
      <c r="B52" s="2">
        <f t="shared" si="0"/>
        <v>22.844240043486934</v>
      </c>
      <c r="C52" s="2">
        <f t="shared" si="1"/>
        <v>21.422120021743467</v>
      </c>
      <c r="D52" s="2">
        <f t="shared" si="2"/>
        <v>1.8572544604467112</v>
      </c>
      <c r="E52" s="2">
        <f t="shared" si="3"/>
        <v>0.36698719981044808</v>
      </c>
    </row>
    <row r="53" spans="1:5" x14ac:dyDescent="0.25">
      <c r="A53" s="2">
        <v>6.074427599523915</v>
      </c>
      <c r="B53" s="2">
        <f t="shared" si="0"/>
        <v>12.14885519904783</v>
      </c>
      <c r="C53" s="2">
        <f t="shared" si="1"/>
        <v>16.074427599523915</v>
      </c>
      <c r="D53" s="2">
        <f t="shared" si="2"/>
        <v>-3.4904379617728409</v>
      </c>
      <c r="E53" s="2">
        <f t="shared" si="3"/>
        <v>-0.6896987359475808</v>
      </c>
    </row>
    <row r="54" spans="1:5" x14ac:dyDescent="0.25">
      <c r="A54" s="2">
        <v>15.14114617544692</v>
      </c>
      <c r="B54" s="2">
        <f t="shared" si="0"/>
        <v>30.28229235089384</v>
      </c>
      <c r="C54" s="2">
        <f t="shared" si="1"/>
        <v>25.14114617544692</v>
      </c>
      <c r="D54" s="2">
        <f t="shared" si="2"/>
        <v>5.5762806141501642</v>
      </c>
      <c r="E54" s="2">
        <f t="shared" si="3"/>
        <v>1.1018541893564999</v>
      </c>
    </row>
    <row r="55" spans="1:5" x14ac:dyDescent="0.25">
      <c r="A55" s="2">
        <v>14.34619096267852</v>
      </c>
      <c r="B55" s="2">
        <f t="shared" si="0"/>
        <v>28.69238192535704</v>
      </c>
      <c r="C55" s="2">
        <f t="shared" si="1"/>
        <v>24.34619096267852</v>
      </c>
      <c r="D55" s="2">
        <f t="shared" si="2"/>
        <v>4.7813254013817641</v>
      </c>
      <c r="E55" s="2">
        <f t="shared" si="3"/>
        <v>0.94477372799719617</v>
      </c>
    </row>
    <row r="56" spans="1:5" x14ac:dyDescent="0.25">
      <c r="A56" s="2">
        <v>7.3269041220191866</v>
      </c>
      <c r="B56" s="2">
        <f t="shared" si="0"/>
        <v>14.653808244038373</v>
      </c>
      <c r="C56" s="2">
        <f t="shared" si="1"/>
        <v>17.326904122019187</v>
      </c>
      <c r="D56" s="2">
        <f t="shared" si="2"/>
        <v>-2.2379614392775693</v>
      </c>
      <c r="E56" s="2">
        <f t="shared" si="3"/>
        <v>-0.44221361120688524</v>
      </c>
    </row>
    <row r="57" spans="1:5" x14ac:dyDescent="0.25">
      <c r="A57" s="2">
        <v>9.0944957062311005</v>
      </c>
      <c r="B57" s="2">
        <f t="shared" si="0"/>
        <v>18.188991412462201</v>
      </c>
      <c r="C57" s="2">
        <f t="shared" si="1"/>
        <v>19.0944957062311</v>
      </c>
      <c r="D57" s="2">
        <f t="shared" si="2"/>
        <v>-0.47036985506565543</v>
      </c>
      <c r="E57" s="2">
        <f t="shared" si="3"/>
        <v>-9.2943492484208287E-2</v>
      </c>
    </row>
    <row r="58" spans="1:5" x14ac:dyDescent="0.25">
      <c r="A58" s="2">
        <v>11.746735733831883</v>
      </c>
      <c r="B58" s="2">
        <f t="shared" si="0"/>
        <v>23.493471467663767</v>
      </c>
      <c r="C58" s="2">
        <f t="shared" si="1"/>
        <v>21.746735733831883</v>
      </c>
      <c r="D58" s="2">
        <f t="shared" si="2"/>
        <v>2.1818701725351275</v>
      </c>
      <c r="E58" s="2">
        <f t="shared" si="3"/>
        <v>0.43113016660948822</v>
      </c>
    </row>
    <row r="59" spans="1:5" x14ac:dyDescent="0.25">
      <c r="A59" s="2">
        <v>10.08625420377939</v>
      </c>
      <c r="B59" s="2">
        <f t="shared" si="0"/>
        <v>20.17250840755878</v>
      </c>
      <c r="C59" s="2">
        <f t="shared" si="1"/>
        <v>20.08625420377939</v>
      </c>
      <c r="D59" s="2">
        <f t="shared" si="2"/>
        <v>0.52138864248263417</v>
      </c>
      <c r="E59" s="2">
        <f t="shared" si="3"/>
        <v>0.1030246323229454</v>
      </c>
    </row>
    <row r="60" spans="1:5" x14ac:dyDescent="0.25">
      <c r="A60" s="2">
        <v>21.777865438489243</v>
      </c>
      <c r="B60" s="2">
        <f t="shared" si="0"/>
        <v>43.555730876978487</v>
      </c>
      <c r="C60" s="2">
        <f t="shared" si="1"/>
        <v>31.777865438489243</v>
      </c>
      <c r="D60" s="2">
        <f t="shared" si="2"/>
        <v>12.212999877192487</v>
      </c>
      <c r="E60" s="2">
        <f t="shared" si="3"/>
        <v>2.4132474691368855</v>
      </c>
    </row>
    <row r="61" spans="1:5" x14ac:dyDescent="0.25">
      <c r="A61" s="2">
        <v>-1.5734110295306891</v>
      </c>
      <c r="B61" s="2">
        <f t="shared" si="0"/>
        <v>-3.1468220590613782</v>
      </c>
      <c r="C61" s="2">
        <f t="shared" si="1"/>
        <v>8.4265889704693109</v>
      </c>
      <c r="D61" s="2">
        <f t="shared" si="2"/>
        <v>-11.138276590827445</v>
      </c>
      <c r="E61" s="2">
        <f t="shared" si="3"/>
        <v>-2.2008857826616111</v>
      </c>
    </row>
    <row r="62" spans="1:5" x14ac:dyDescent="0.25">
      <c r="A62" s="2">
        <v>13.727188868651865</v>
      </c>
      <c r="B62" s="2">
        <f t="shared" si="0"/>
        <v>27.45437773730373</v>
      </c>
      <c r="C62" s="2">
        <f t="shared" si="1"/>
        <v>23.727188868651865</v>
      </c>
      <c r="D62" s="2">
        <f t="shared" si="2"/>
        <v>4.1623233073551091</v>
      </c>
      <c r="E62" s="2">
        <f t="shared" si="3"/>
        <v>0.82246100779567499</v>
      </c>
    </row>
    <row r="63" spans="1:5" x14ac:dyDescent="0.25">
      <c r="A63" s="2">
        <v>14.65475977762253</v>
      </c>
      <c r="B63" s="2">
        <f t="shared" si="0"/>
        <v>29.30951955524506</v>
      </c>
      <c r="C63" s="2">
        <f t="shared" si="1"/>
        <v>24.65475977762253</v>
      </c>
      <c r="D63" s="2">
        <f t="shared" si="2"/>
        <v>5.0898942163257743</v>
      </c>
      <c r="E63" s="2">
        <f t="shared" si="3"/>
        <v>1.0057458821940388</v>
      </c>
    </row>
    <row r="64" spans="1:5" x14ac:dyDescent="0.25">
      <c r="A64" s="2">
        <v>13.557613581506303</v>
      </c>
      <c r="B64" s="2">
        <f t="shared" si="0"/>
        <v>27.115227163012605</v>
      </c>
      <c r="C64" s="2">
        <f t="shared" si="1"/>
        <v>23.557613581506303</v>
      </c>
      <c r="D64" s="2">
        <f t="shared" si="2"/>
        <v>3.9927480202095467</v>
      </c>
      <c r="E64" s="2">
        <f t="shared" si="3"/>
        <v>0.78895350459030678</v>
      </c>
    </row>
    <row r="65" spans="1:5" x14ac:dyDescent="0.25">
      <c r="A65" s="2">
        <v>15.238155154074775</v>
      </c>
      <c r="B65" s="2">
        <f t="shared" si="0"/>
        <v>30.47631030814955</v>
      </c>
      <c r="C65" s="2">
        <f t="shared" si="1"/>
        <v>25.238155154074775</v>
      </c>
      <c r="D65" s="2">
        <f t="shared" si="2"/>
        <v>5.6732895927780191</v>
      </c>
      <c r="E65" s="2">
        <f t="shared" si="3"/>
        <v>1.1210228354312792</v>
      </c>
    </row>
    <row r="66" spans="1:5" x14ac:dyDescent="0.25">
      <c r="A66" s="2">
        <v>14.457774593902286</v>
      </c>
      <c r="B66" s="2">
        <f t="shared" si="0"/>
        <v>28.915549187804572</v>
      </c>
      <c r="C66" s="2">
        <f t="shared" si="1"/>
        <v>24.457774593902286</v>
      </c>
      <c r="D66" s="2">
        <f t="shared" si="2"/>
        <v>4.8929090326055302</v>
      </c>
      <c r="E66" s="2">
        <f t="shared" si="3"/>
        <v>0.9668222761307903</v>
      </c>
    </row>
    <row r="67" spans="1:5" x14ac:dyDescent="0.25">
      <c r="A67" s="2">
        <v>16.239838512556162</v>
      </c>
      <c r="B67" s="2">
        <f t="shared" si="0"/>
        <v>32.479677025112323</v>
      </c>
      <c r="C67" s="2">
        <f t="shared" si="1"/>
        <v>26.239838512556162</v>
      </c>
      <c r="D67" s="2">
        <f t="shared" si="2"/>
        <v>6.6749729512594058</v>
      </c>
      <c r="E67" s="2">
        <f t="shared" si="3"/>
        <v>1.3189520791911202</v>
      </c>
    </row>
    <row r="68" spans="1:5" x14ac:dyDescent="0.25">
      <c r="A68" s="2">
        <v>6.8728843668941408</v>
      </c>
      <c r="B68" s="2">
        <f t="shared" ref="B68:B102" si="4">2*A68</f>
        <v>13.745768733788282</v>
      </c>
      <c r="C68" s="2">
        <f t="shared" ref="C68:C102" si="5">A68+10</f>
        <v>16.872884366894141</v>
      </c>
      <c r="D68" s="2">
        <f t="shared" ref="D68:D102" si="6">A68-AVERAGE($A$3:$A$102)</f>
        <v>-2.6919811944026151</v>
      </c>
      <c r="E68" s="2">
        <f t="shared" ref="E68:E102" si="7">D68/_xlfn.STDEV.P($A$3:$A$102)</f>
        <v>-0.53192637924185349</v>
      </c>
    </row>
    <row r="69" spans="1:5" x14ac:dyDescent="0.25">
      <c r="A69" s="2">
        <v>7.3998683344689198</v>
      </c>
      <c r="B69" s="2">
        <f t="shared" si="4"/>
        <v>14.79973666893784</v>
      </c>
      <c r="C69" s="2">
        <f t="shared" si="5"/>
        <v>17.39986833446892</v>
      </c>
      <c r="D69" s="2">
        <f t="shared" si="6"/>
        <v>-2.1649972268278361</v>
      </c>
      <c r="E69" s="2">
        <f t="shared" si="7"/>
        <v>-0.42779612960511176</v>
      </c>
    </row>
    <row r="70" spans="1:5" x14ac:dyDescent="0.25">
      <c r="A70" s="2">
        <v>6.9534087540523615</v>
      </c>
      <c r="B70" s="2">
        <f t="shared" si="4"/>
        <v>13.906817508104723</v>
      </c>
      <c r="C70" s="2">
        <f t="shared" si="5"/>
        <v>16.953408754052361</v>
      </c>
      <c r="D70" s="2">
        <f t="shared" si="6"/>
        <v>-2.6114568072443944</v>
      </c>
      <c r="E70" s="2">
        <f t="shared" si="7"/>
        <v>-0.51601503268757465</v>
      </c>
    </row>
    <row r="71" spans="1:5" x14ac:dyDescent="0.25">
      <c r="A71" s="2">
        <v>1.2489101916435175</v>
      </c>
      <c r="B71" s="2">
        <f t="shared" si="4"/>
        <v>2.4978203832870349</v>
      </c>
      <c r="C71" s="2">
        <f t="shared" si="5"/>
        <v>11.248910191643517</v>
      </c>
      <c r="D71" s="2">
        <f t="shared" si="6"/>
        <v>-8.3159553696532384</v>
      </c>
      <c r="E71" s="2">
        <f t="shared" si="7"/>
        <v>-1.6432046549634691</v>
      </c>
    </row>
    <row r="72" spans="1:5" x14ac:dyDescent="0.25">
      <c r="A72" s="2">
        <v>9.7100985638098791</v>
      </c>
      <c r="B72" s="2">
        <f t="shared" si="4"/>
        <v>19.420197127619758</v>
      </c>
      <c r="C72" s="2">
        <f t="shared" si="5"/>
        <v>19.710098563809879</v>
      </c>
      <c r="D72" s="2">
        <f t="shared" si="6"/>
        <v>0.14523300251312321</v>
      </c>
      <c r="E72" s="2">
        <f t="shared" si="7"/>
        <v>2.8697550092051115E-2</v>
      </c>
    </row>
    <row r="73" spans="1:5" x14ac:dyDescent="0.25">
      <c r="A73" s="2">
        <v>3.7442908048979007</v>
      </c>
      <c r="B73" s="2">
        <f t="shared" si="4"/>
        <v>7.4885816097958013</v>
      </c>
      <c r="C73" s="2">
        <f t="shared" si="5"/>
        <v>13.744290804897901</v>
      </c>
      <c r="D73" s="2">
        <f t="shared" si="6"/>
        <v>-5.8205747563988552</v>
      </c>
      <c r="E73" s="2">
        <f t="shared" si="7"/>
        <v>-1.1501258856174306</v>
      </c>
    </row>
    <row r="74" spans="1:5" x14ac:dyDescent="0.25">
      <c r="A74" s="2">
        <v>8.6589500622358173</v>
      </c>
      <c r="B74" s="2">
        <f t="shared" si="4"/>
        <v>17.317900124471635</v>
      </c>
      <c r="C74" s="2">
        <f t="shared" si="5"/>
        <v>18.658950062235817</v>
      </c>
      <c r="D74" s="2">
        <f t="shared" si="6"/>
        <v>-0.9059154990609386</v>
      </c>
      <c r="E74" s="2">
        <f t="shared" si="7"/>
        <v>-0.17900583864275366</v>
      </c>
    </row>
    <row r="75" spans="1:5" x14ac:dyDescent="0.25">
      <c r="A75" s="2">
        <v>10.36426399674383</v>
      </c>
      <c r="B75" s="2">
        <f t="shared" si="4"/>
        <v>20.72852799348766</v>
      </c>
      <c r="C75" s="2">
        <f t="shared" si="5"/>
        <v>20.36426399674383</v>
      </c>
      <c r="D75" s="2">
        <f t="shared" si="6"/>
        <v>0.79939843544707401</v>
      </c>
      <c r="E75" s="2">
        <f t="shared" si="7"/>
        <v>0.15795842713281902</v>
      </c>
    </row>
    <row r="76" spans="1:5" x14ac:dyDescent="0.25">
      <c r="A76" s="2">
        <v>1.5811713435687125</v>
      </c>
      <c r="B76" s="2">
        <f t="shared" si="4"/>
        <v>3.1623426871374249</v>
      </c>
      <c r="C76" s="2">
        <f t="shared" si="5"/>
        <v>11.581171343568712</v>
      </c>
      <c r="D76" s="2">
        <f t="shared" si="6"/>
        <v>-7.9836942177280434</v>
      </c>
      <c r="E76" s="2">
        <f t="shared" si="7"/>
        <v>-1.5775509751109555</v>
      </c>
    </row>
    <row r="77" spans="1:5" x14ac:dyDescent="0.25">
      <c r="A77" s="2">
        <v>9.4336576492059976</v>
      </c>
      <c r="B77" s="2">
        <f t="shared" si="4"/>
        <v>18.867315298411995</v>
      </c>
      <c r="C77" s="2">
        <f t="shared" si="5"/>
        <v>19.433657649205998</v>
      </c>
      <c r="D77" s="2">
        <f t="shared" si="6"/>
        <v>-0.13120791209075833</v>
      </c>
      <c r="E77" s="2">
        <f t="shared" si="7"/>
        <v>-2.5926239660009374E-2</v>
      </c>
    </row>
    <row r="78" spans="1:5" x14ac:dyDescent="0.25">
      <c r="A78" s="2">
        <v>12.284627953486051</v>
      </c>
      <c r="B78" s="2">
        <f t="shared" si="4"/>
        <v>24.569255906972103</v>
      </c>
      <c r="C78" s="2">
        <f t="shared" si="5"/>
        <v>22.284627953486051</v>
      </c>
      <c r="D78" s="2">
        <f t="shared" si="6"/>
        <v>2.7197623921892955</v>
      </c>
      <c r="E78" s="2">
        <f t="shared" si="7"/>
        <v>0.53741584996341629</v>
      </c>
    </row>
    <row r="79" spans="1:5" x14ac:dyDescent="0.25">
      <c r="A79" s="2">
        <v>5.5507519189268351</v>
      </c>
      <c r="B79" s="2">
        <f t="shared" si="4"/>
        <v>11.10150383785367</v>
      </c>
      <c r="C79" s="2">
        <f t="shared" si="5"/>
        <v>15.550751918926835</v>
      </c>
      <c r="D79" s="2">
        <f t="shared" si="6"/>
        <v>-4.0141136423699209</v>
      </c>
      <c r="E79" s="2">
        <f t="shared" si="7"/>
        <v>-0.79317527926676001</v>
      </c>
    </row>
    <row r="80" spans="1:5" x14ac:dyDescent="0.25">
      <c r="A80" s="2">
        <v>2.994742115115514</v>
      </c>
      <c r="B80" s="2">
        <f t="shared" si="4"/>
        <v>5.9894842302310281</v>
      </c>
      <c r="C80" s="2">
        <f t="shared" si="5"/>
        <v>12.994742115115514</v>
      </c>
      <c r="D80" s="2">
        <f t="shared" si="6"/>
        <v>-6.5701234461812419</v>
      </c>
      <c r="E80" s="2">
        <f t="shared" si="7"/>
        <v>-1.2982341716078525</v>
      </c>
    </row>
    <row r="81" spans="1:5" x14ac:dyDescent="0.25">
      <c r="A81" s="2">
        <v>13.785510216403054</v>
      </c>
      <c r="B81" s="2">
        <f t="shared" si="4"/>
        <v>27.571020432806108</v>
      </c>
      <c r="C81" s="2">
        <f t="shared" si="5"/>
        <v>23.785510216403054</v>
      </c>
      <c r="D81" s="2">
        <f t="shared" si="6"/>
        <v>4.2206446551062982</v>
      </c>
      <c r="E81" s="2">
        <f t="shared" si="7"/>
        <v>0.83398510885785915</v>
      </c>
    </row>
    <row r="82" spans="1:5" x14ac:dyDescent="0.25">
      <c r="A82" s="2">
        <v>3.6020458335406147</v>
      </c>
      <c r="B82" s="2">
        <f t="shared" si="4"/>
        <v>7.2040916670812294</v>
      </c>
      <c r="C82" s="2">
        <f t="shared" si="5"/>
        <v>13.602045833540615</v>
      </c>
      <c r="D82" s="2">
        <f t="shared" si="6"/>
        <v>-5.9628197277561412</v>
      </c>
      <c r="E82" s="2">
        <f t="shared" si="7"/>
        <v>-1.1782330108591554</v>
      </c>
    </row>
    <row r="83" spans="1:5" x14ac:dyDescent="0.25">
      <c r="A83" s="2">
        <v>13.88820353691699</v>
      </c>
      <c r="B83" s="2">
        <f t="shared" si="4"/>
        <v>27.77640707383398</v>
      </c>
      <c r="C83" s="2">
        <f t="shared" si="5"/>
        <v>23.88820353691699</v>
      </c>
      <c r="D83" s="2">
        <f t="shared" si="6"/>
        <v>4.3233379756202339</v>
      </c>
      <c r="E83" s="2">
        <f t="shared" si="7"/>
        <v>0.85427696166384548</v>
      </c>
    </row>
    <row r="84" spans="1:5" x14ac:dyDescent="0.25">
      <c r="A84" s="2">
        <v>11.496755430707708</v>
      </c>
      <c r="B84" s="2">
        <f t="shared" si="4"/>
        <v>22.993510861415416</v>
      </c>
      <c r="C84" s="2">
        <f t="shared" si="5"/>
        <v>21.496755430707708</v>
      </c>
      <c r="D84" s="2">
        <f t="shared" si="6"/>
        <v>1.9318898694109521</v>
      </c>
      <c r="E84" s="2">
        <f t="shared" si="7"/>
        <v>0.38173490419119649</v>
      </c>
    </row>
    <row r="85" spans="1:5" x14ac:dyDescent="0.25">
      <c r="A85" s="2">
        <v>9.0987703313294332</v>
      </c>
      <c r="B85" s="2">
        <f t="shared" si="4"/>
        <v>18.197540662658866</v>
      </c>
      <c r="C85" s="2">
        <f t="shared" si="5"/>
        <v>19.098770331329433</v>
      </c>
      <c r="D85" s="2">
        <f t="shared" si="6"/>
        <v>-0.46609522996732267</v>
      </c>
      <c r="E85" s="2">
        <f t="shared" si="7"/>
        <v>-9.2098841022340588E-2</v>
      </c>
    </row>
    <row r="86" spans="1:5" x14ac:dyDescent="0.25">
      <c r="A86" s="2">
        <v>12.112301444867626</v>
      </c>
      <c r="B86" s="2">
        <f t="shared" si="4"/>
        <v>24.224602889735252</v>
      </c>
      <c r="C86" s="2">
        <f t="shared" si="5"/>
        <v>22.112301444867626</v>
      </c>
      <c r="D86" s="2">
        <f t="shared" si="6"/>
        <v>2.5474358835708699</v>
      </c>
      <c r="E86" s="2">
        <f t="shared" si="7"/>
        <v>0.50336471470014377</v>
      </c>
    </row>
    <row r="87" spans="1:5" x14ac:dyDescent="0.25">
      <c r="A87" s="2">
        <v>11.029832219501259</v>
      </c>
      <c r="B87" s="2">
        <f t="shared" si="4"/>
        <v>22.059664439002518</v>
      </c>
      <c r="C87" s="2">
        <f t="shared" si="5"/>
        <v>21.029832219501259</v>
      </c>
      <c r="D87" s="2">
        <f t="shared" si="6"/>
        <v>1.4649666582045029</v>
      </c>
      <c r="E87" s="2">
        <f t="shared" si="7"/>
        <v>0.28947245687638823</v>
      </c>
    </row>
    <row r="88" spans="1:5" x14ac:dyDescent="0.25">
      <c r="A88" s="2">
        <v>10.984164216788486</v>
      </c>
      <c r="B88" s="2">
        <f t="shared" si="4"/>
        <v>21.968328433576971</v>
      </c>
      <c r="C88" s="2">
        <f t="shared" si="5"/>
        <v>20.984164216788486</v>
      </c>
      <c r="D88" s="2">
        <f t="shared" si="6"/>
        <v>1.4192986554917297</v>
      </c>
      <c r="E88" s="2">
        <f t="shared" si="7"/>
        <v>0.28044861399787097</v>
      </c>
    </row>
    <row r="89" spans="1:5" x14ac:dyDescent="0.25">
      <c r="A89" s="2">
        <v>19.898758435156196</v>
      </c>
      <c r="B89" s="2">
        <f t="shared" si="4"/>
        <v>39.797516870312393</v>
      </c>
      <c r="C89" s="2">
        <f t="shared" si="5"/>
        <v>29.898758435156196</v>
      </c>
      <c r="D89" s="2">
        <f t="shared" si="6"/>
        <v>10.33389287385944</v>
      </c>
      <c r="E89" s="2">
        <f t="shared" si="7"/>
        <v>2.041942280761389</v>
      </c>
    </row>
    <row r="90" spans="1:5" x14ac:dyDescent="0.25">
      <c r="A90" s="2">
        <v>5.8825583235011436</v>
      </c>
      <c r="B90" s="2">
        <f t="shared" si="4"/>
        <v>11.765116647002287</v>
      </c>
      <c r="C90" s="2">
        <f t="shared" si="5"/>
        <v>15.882558323501144</v>
      </c>
      <c r="D90" s="2">
        <f t="shared" si="6"/>
        <v>-3.6823072377956123</v>
      </c>
      <c r="E90" s="2">
        <f t="shared" si="7"/>
        <v>-0.72761145595274301</v>
      </c>
    </row>
    <row r="91" spans="1:5" x14ac:dyDescent="0.25">
      <c r="A91" s="2">
        <v>22.031705409754068</v>
      </c>
      <c r="B91" s="2">
        <f t="shared" si="4"/>
        <v>44.063410819508135</v>
      </c>
      <c r="C91" s="2">
        <f t="shared" si="5"/>
        <v>32.031705409754068</v>
      </c>
      <c r="D91" s="2">
        <f t="shared" si="6"/>
        <v>12.466839848457312</v>
      </c>
      <c r="E91" s="2">
        <f t="shared" si="7"/>
        <v>2.4634053889256666</v>
      </c>
    </row>
    <row r="92" spans="1:5" x14ac:dyDescent="0.25">
      <c r="A92" s="2">
        <v>9.7380655258893967</v>
      </c>
      <c r="B92" s="2">
        <f t="shared" si="4"/>
        <v>19.476131051778793</v>
      </c>
      <c r="C92" s="2">
        <f t="shared" si="5"/>
        <v>19.738065525889397</v>
      </c>
      <c r="D92" s="2">
        <f t="shared" si="6"/>
        <v>0.17319996459264075</v>
      </c>
      <c r="E92" s="2">
        <f t="shared" si="7"/>
        <v>3.4223727209589723E-2</v>
      </c>
    </row>
    <row r="93" spans="1:5" x14ac:dyDescent="0.25">
      <c r="A93" s="2">
        <v>5.1822928778710775</v>
      </c>
      <c r="B93" s="2">
        <f t="shared" si="4"/>
        <v>10.364585755742155</v>
      </c>
      <c r="C93" s="2">
        <f t="shared" si="5"/>
        <v>15.182292877871078</v>
      </c>
      <c r="D93" s="2">
        <f t="shared" si="6"/>
        <v>-4.3825726834256784</v>
      </c>
      <c r="E93" s="2">
        <f t="shared" si="7"/>
        <v>-0.86598153958359991</v>
      </c>
    </row>
    <row r="94" spans="1:5" x14ac:dyDescent="0.25">
      <c r="A94" s="2">
        <v>2.7397766441572458</v>
      </c>
      <c r="B94" s="2">
        <f t="shared" si="4"/>
        <v>5.4795532883144915</v>
      </c>
      <c r="C94" s="2">
        <f t="shared" si="5"/>
        <v>12.739776644157246</v>
      </c>
      <c r="D94" s="2">
        <f t="shared" si="6"/>
        <v>-6.8250889171395102</v>
      </c>
      <c r="E94" s="2">
        <f t="shared" si="7"/>
        <v>-1.3486144863294129</v>
      </c>
    </row>
    <row r="95" spans="1:5" x14ac:dyDescent="0.25">
      <c r="A95" s="2">
        <v>12.318643055332359</v>
      </c>
      <c r="B95" s="2">
        <f t="shared" si="4"/>
        <v>24.637286110664718</v>
      </c>
      <c r="C95" s="2">
        <f t="shared" si="5"/>
        <v>22.318643055332359</v>
      </c>
      <c r="D95" s="2">
        <f t="shared" si="6"/>
        <v>2.753777494035603</v>
      </c>
      <c r="E95" s="2">
        <f t="shared" si="7"/>
        <v>0.54413711904295914</v>
      </c>
    </row>
    <row r="96" spans="1:5" x14ac:dyDescent="0.25">
      <c r="A96" s="2">
        <v>12.461865733494051</v>
      </c>
      <c r="B96" s="2">
        <f t="shared" si="4"/>
        <v>24.923731466988102</v>
      </c>
      <c r="C96" s="2">
        <f t="shared" si="5"/>
        <v>22.461865733494051</v>
      </c>
      <c r="D96" s="2">
        <f t="shared" si="6"/>
        <v>2.8970001721972949</v>
      </c>
      <c r="E96" s="2">
        <f t="shared" si="7"/>
        <v>0.57243743584245155</v>
      </c>
    </row>
    <row r="97" spans="1:5" x14ac:dyDescent="0.25">
      <c r="A97" s="2">
        <v>7.4090655996405985</v>
      </c>
      <c r="B97" s="2">
        <f t="shared" si="4"/>
        <v>14.818131199281197</v>
      </c>
      <c r="C97" s="2">
        <f t="shared" si="5"/>
        <v>17.409065599640599</v>
      </c>
      <c r="D97" s="2">
        <f t="shared" si="6"/>
        <v>-2.1557999616561574</v>
      </c>
      <c r="E97" s="2">
        <f t="shared" si="7"/>
        <v>-0.42597878111401877</v>
      </c>
    </row>
    <row r="98" spans="1:5" x14ac:dyDescent="0.25">
      <c r="A98" s="2">
        <v>12.092667727993103</v>
      </c>
      <c r="B98" s="2">
        <f t="shared" si="4"/>
        <v>24.185335455986205</v>
      </c>
      <c r="C98" s="2">
        <f t="shared" si="5"/>
        <v>22.092667727993103</v>
      </c>
      <c r="D98" s="2">
        <f t="shared" si="6"/>
        <v>2.5278021666963468</v>
      </c>
      <c r="E98" s="2">
        <f t="shared" si="7"/>
        <v>0.49948515865055471</v>
      </c>
    </row>
    <row r="99" spans="1:5" x14ac:dyDescent="0.25">
      <c r="A99" s="2">
        <v>3.12010459107114</v>
      </c>
      <c r="B99" s="2">
        <f t="shared" si="4"/>
        <v>6.24020918214228</v>
      </c>
      <c r="C99" s="2">
        <f t="shared" si="5"/>
        <v>13.12010459107114</v>
      </c>
      <c r="D99" s="2">
        <f t="shared" si="6"/>
        <v>-6.4447609702256159</v>
      </c>
      <c r="E99" s="2">
        <f t="shared" si="7"/>
        <v>-1.2734629703578126</v>
      </c>
    </row>
    <row r="100" spans="1:5" x14ac:dyDescent="0.25">
      <c r="A100" s="2">
        <v>10.022760104911868</v>
      </c>
      <c r="B100" s="2">
        <f t="shared" si="4"/>
        <v>20.045520209823735</v>
      </c>
      <c r="C100" s="2">
        <f t="shared" si="5"/>
        <v>20.022760104911868</v>
      </c>
      <c r="D100" s="2">
        <f t="shared" si="6"/>
        <v>0.45789454361511162</v>
      </c>
      <c r="E100" s="2">
        <f t="shared" si="7"/>
        <v>9.0478413135362826E-2</v>
      </c>
    </row>
    <row r="101" spans="1:5" x14ac:dyDescent="0.25">
      <c r="A101" s="2">
        <v>4.2431486488203518</v>
      </c>
      <c r="B101" s="2">
        <f t="shared" si="4"/>
        <v>8.4862972976407036</v>
      </c>
      <c r="C101" s="2">
        <f t="shared" si="5"/>
        <v>14.243148648820352</v>
      </c>
      <c r="D101" s="2">
        <f t="shared" si="6"/>
        <v>-5.3217169124764041</v>
      </c>
      <c r="E101" s="2">
        <f t="shared" si="7"/>
        <v>-1.0515532628867013</v>
      </c>
    </row>
    <row r="102" spans="1:5" x14ac:dyDescent="0.25">
      <c r="A102" s="2">
        <v>8.0538348154368578</v>
      </c>
      <c r="B102" s="2">
        <f t="shared" si="4"/>
        <v>16.107669630873716</v>
      </c>
      <c r="C102" s="2">
        <f t="shared" si="5"/>
        <v>18.053834815436858</v>
      </c>
      <c r="D102" s="2">
        <f t="shared" si="6"/>
        <v>-1.5110307458598982</v>
      </c>
      <c r="E102" s="2">
        <f t="shared" si="7"/>
        <v>-0.29857456479993605</v>
      </c>
    </row>
  </sheetData>
  <mergeCells count="5">
    <mergeCell ref="G1:H1"/>
    <mergeCell ref="I1:J1"/>
    <mergeCell ref="K1:L1"/>
    <mergeCell ref="M1:N1"/>
    <mergeCell ref="O1:P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G6" sqref="G6"/>
    </sheetView>
  </sheetViews>
  <sheetFormatPr defaultRowHeight="15" x14ac:dyDescent="0.25"/>
  <cols>
    <col min="3" max="3" width="19.5703125" bestFit="1" customWidth="1"/>
  </cols>
  <sheetData>
    <row r="1" spans="1:12" x14ac:dyDescent="0.25">
      <c r="A1" t="s">
        <v>114</v>
      </c>
      <c r="B1" t="s">
        <v>6</v>
      </c>
      <c r="C1" s="21" t="s">
        <v>114</v>
      </c>
      <c r="D1" s="21"/>
      <c r="F1" t="s">
        <v>7</v>
      </c>
      <c r="G1" s="58" t="s">
        <v>115</v>
      </c>
      <c r="H1" s="58"/>
      <c r="I1" s="58"/>
      <c r="J1" s="58"/>
      <c r="K1" s="58"/>
      <c r="L1" s="58"/>
    </row>
    <row r="2" spans="1:12" x14ac:dyDescent="0.25">
      <c r="A2">
        <v>42</v>
      </c>
      <c r="C2" s="18"/>
      <c r="D2" s="18"/>
      <c r="G2" s="58"/>
      <c r="H2" s="58"/>
      <c r="I2" s="58"/>
      <c r="J2" s="58"/>
      <c r="K2" s="58"/>
      <c r="L2" s="58"/>
    </row>
    <row r="3" spans="1:12" x14ac:dyDescent="0.25">
      <c r="A3">
        <v>35</v>
      </c>
      <c r="C3" s="18" t="s">
        <v>2</v>
      </c>
      <c r="D3" s="18">
        <v>30</v>
      </c>
      <c r="G3" s="58"/>
      <c r="H3" s="58"/>
      <c r="I3" s="58"/>
      <c r="J3" s="58"/>
      <c r="K3" s="58"/>
      <c r="L3" s="58"/>
    </row>
    <row r="4" spans="1:12" x14ac:dyDescent="0.25">
      <c r="A4">
        <v>27</v>
      </c>
      <c r="C4" s="18" t="s">
        <v>33</v>
      </c>
      <c r="D4" s="18">
        <v>3.5808130671988758</v>
      </c>
      <c r="G4" s="58"/>
      <c r="H4" s="58"/>
      <c r="I4" s="58"/>
      <c r="J4" s="58"/>
      <c r="K4" s="58"/>
      <c r="L4" s="58"/>
    </row>
    <row r="5" spans="1:12" x14ac:dyDescent="0.25">
      <c r="A5">
        <v>21</v>
      </c>
      <c r="C5" s="18" t="s">
        <v>3</v>
      </c>
      <c r="D5" s="18">
        <v>27</v>
      </c>
      <c r="G5" s="58"/>
      <c r="H5" s="58"/>
      <c r="I5" s="58"/>
      <c r="J5" s="58"/>
      <c r="K5" s="58"/>
      <c r="L5" s="58"/>
    </row>
    <row r="6" spans="1:12" x14ac:dyDescent="0.25">
      <c r="A6">
        <v>55</v>
      </c>
      <c r="C6" s="18" t="s">
        <v>34</v>
      </c>
      <c r="D6" s="18">
        <v>27</v>
      </c>
    </row>
    <row r="7" spans="1:12" x14ac:dyDescent="0.25">
      <c r="A7">
        <v>18</v>
      </c>
      <c r="C7" s="18" t="s">
        <v>35</v>
      </c>
      <c r="D7" s="18">
        <v>11.323525167642</v>
      </c>
    </row>
    <row r="8" spans="1:12" x14ac:dyDescent="0.25">
      <c r="A8">
        <v>27</v>
      </c>
      <c r="C8" s="18" t="s">
        <v>36</v>
      </c>
      <c r="D8" s="18">
        <v>128.22222222222223</v>
      </c>
    </row>
    <row r="9" spans="1:12" x14ac:dyDescent="0.25">
      <c r="A9">
        <v>30</v>
      </c>
      <c r="C9" s="18" t="s">
        <v>37</v>
      </c>
      <c r="D9" s="18">
        <v>1.5986622844939467</v>
      </c>
    </row>
    <row r="10" spans="1:12" x14ac:dyDescent="0.25">
      <c r="A10">
        <v>21</v>
      </c>
      <c r="C10" s="18" t="s">
        <v>38</v>
      </c>
      <c r="D10" s="18">
        <v>1.3413203613853173</v>
      </c>
    </row>
    <row r="11" spans="1:12" x14ac:dyDescent="0.25">
      <c r="A11">
        <v>24</v>
      </c>
      <c r="C11" s="18" t="s">
        <v>39</v>
      </c>
      <c r="D11" s="18">
        <v>37</v>
      </c>
    </row>
    <row r="12" spans="1:12" x14ac:dyDescent="0.25">
      <c r="C12" s="18" t="s">
        <v>15</v>
      </c>
      <c r="D12" s="18">
        <v>18</v>
      </c>
    </row>
    <row r="13" spans="1:12" x14ac:dyDescent="0.25">
      <c r="C13" s="18" t="s">
        <v>22</v>
      </c>
      <c r="D13" s="18">
        <v>55</v>
      </c>
    </row>
    <row r="14" spans="1:12" x14ac:dyDescent="0.25">
      <c r="C14" s="18" t="s">
        <v>40</v>
      </c>
      <c r="D14" s="18">
        <v>300</v>
      </c>
    </row>
    <row r="15" spans="1:12" ht="15.75" thickBot="1" x14ac:dyDescent="0.3">
      <c r="C15" s="19" t="s">
        <v>41</v>
      </c>
      <c r="D15" s="19">
        <v>10</v>
      </c>
    </row>
  </sheetData>
  <mergeCells count="1">
    <mergeCell ref="G1:L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Q18" sqref="Q18"/>
    </sheetView>
  </sheetViews>
  <sheetFormatPr defaultRowHeight="15" x14ac:dyDescent="0.25"/>
  <cols>
    <col min="1" max="1" width="9.140625" style="2"/>
    <col min="2" max="2" width="12.42578125" style="2" bestFit="1" customWidth="1"/>
    <col min="3" max="3" width="10.85546875" style="2" bestFit="1" customWidth="1"/>
    <col min="4" max="4" width="12.42578125" style="2" bestFit="1" customWidth="1"/>
    <col min="5" max="5" width="10.85546875" style="2" customWidth="1"/>
    <col min="6" max="6" width="17" style="2" bestFit="1" customWidth="1"/>
  </cols>
  <sheetData>
    <row r="1" spans="1:20" x14ac:dyDescent="0.25">
      <c r="A1" s="2" t="s">
        <v>17</v>
      </c>
      <c r="B1" s="2" t="s">
        <v>116</v>
      </c>
      <c r="C1" s="2" t="s">
        <v>117</v>
      </c>
      <c r="D1" s="2" t="s">
        <v>125</v>
      </c>
      <c r="E1" s="2" t="s">
        <v>126</v>
      </c>
      <c r="F1" s="2" t="s">
        <v>128</v>
      </c>
      <c r="G1" s="2" t="s">
        <v>6</v>
      </c>
      <c r="P1" t="s">
        <v>7</v>
      </c>
      <c r="Q1" t="s">
        <v>2</v>
      </c>
      <c r="R1">
        <f>SUM(E2:E8)/C9</f>
        <v>3.9170731707317072</v>
      </c>
    </row>
    <row r="2" spans="1:20" x14ac:dyDescent="0.25">
      <c r="A2" s="2">
        <v>2</v>
      </c>
      <c r="B2" s="2" t="s">
        <v>118</v>
      </c>
      <c r="C2" s="2">
        <v>10000</v>
      </c>
      <c r="D2" s="2">
        <v>1</v>
      </c>
      <c r="E2" s="2">
        <f>C2*D2</f>
        <v>10000</v>
      </c>
      <c r="F2" s="2">
        <f>C2*((D2-$R$1)^2)</f>
        <v>85093.158834027374</v>
      </c>
      <c r="Q2" t="s">
        <v>127</v>
      </c>
      <c r="R2">
        <f>SUM(F2:F8)/C9</f>
        <v>15.705318262938725</v>
      </c>
    </row>
    <row r="3" spans="1:20" x14ac:dyDescent="0.25">
      <c r="A3" s="2">
        <v>4</v>
      </c>
      <c r="B3" s="2" t="s">
        <v>119</v>
      </c>
      <c r="C3" s="2">
        <v>3900</v>
      </c>
      <c r="D3" s="2">
        <v>3</v>
      </c>
      <c r="E3" s="2">
        <f t="shared" ref="E3:E8" si="0">C3*D3</f>
        <v>11700</v>
      </c>
      <c r="F3" s="2">
        <f t="shared" ref="F3:F8" si="1">C3*((D3-$R$1)^2)</f>
        <v>3279.9904818560376</v>
      </c>
      <c r="Q3" t="s">
        <v>95</v>
      </c>
      <c r="R3">
        <f>SQRT(R2)</f>
        <v>3.9629935986497284</v>
      </c>
    </row>
    <row r="4" spans="1:20" x14ac:dyDescent="0.25">
      <c r="A4" s="2">
        <v>6</v>
      </c>
      <c r="B4" s="2" t="s">
        <v>120</v>
      </c>
      <c r="C4" s="2">
        <v>2000</v>
      </c>
      <c r="D4" s="2">
        <v>5</v>
      </c>
      <c r="E4" s="2">
        <f t="shared" si="0"/>
        <v>10000</v>
      </c>
      <c r="F4" s="2">
        <f t="shared" si="1"/>
        <v>2345.4610350981561</v>
      </c>
    </row>
    <row r="5" spans="1:20" ht="15" customHeight="1" x14ac:dyDescent="0.25">
      <c r="A5" s="2">
        <v>8</v>
      </c>
      <c r="B5" s="2" t="s">
        <v>121</v>
      </c>
      <c r="C5" s="2">
        <v>1100</v>
      </c>
      <c r="D5" s="2">
        <v>7</v>
      </c>
      <c r="E5" s="2">
        <f t="shared" si="0"/>
        <v>7700</v>
      </c>
      <c r="F5" s="2">
        <f t="shared" si="1"/>
        <v>10454.881618084475</v>
      </c>
      <c r="P5" t="s">
        <v>44</v>
      </c>
      <c r="Q5" s="58" t="s">
        <v>129</v>
      </c>
      <c r="R5" s="58"/>
      <c r="S5" s="58"/>
    </row>
    <row r="6" spans="1:20" x14ac:dyDescent="0.25">
      <c r="A6" s="2">
        <v>10</v>
      </c>
      <c r="B6" s="2" t="s">
        <v>122</v>
      </c>
      <c r="C6" s="2">
        <v>800</v>
      </c>
      <c r="D6" s="2">
        <v>9</v>
      </c>
      <c r="E6" s="2">
        <f t="shared" si="0"/>
        <v>7200</v>
      </c>
      <c r="F6" s="2">
        <f t="shared" si="1"/>
        <v>20668.916121356335</v>
      </c>
      <c r="Q6" s="58"/>
      <c r="R6" s="58"/>
      <c r="S6" s="58"/>
    </row>
    <row r="7" spans="1:20" x14ac:dyDescent="0.25">
      <c r="A7" s="2">
        <v>12</v>
      </c>
      <c r="B7" s="2" t="s">
        <v>123</v>
      </c>
      <c r="C7" s="2">
        <v>700</v>
      </c>
      <c r="D7" s="2">
        <v>11</v>
      </c>
      <c r="E7" s="2">
        <f t="shared" si="0"/>
        <v>7700</v>
      </c>
      <c r="F7" s="2">
        <f t="shared" si="1"/>
        <v>35117.496728138016</v>
      </c>
      <c r="Q7" s="58"/>
      <c r="R7" s="58"/>
      <c r="S7" s="58"/>
    </row>
    <row r="8" spans="1:20" x14ac:dyDescent="0.25">
      <c r="A8" s="2">
        <v>14</v>
      </c>
      <c r="B8" s="2" t="s">
        <v>124</v>
      </c>
      <c r="C8" s="2">
        <v>2000</v>
      </c>
      <c r="D8" s="2">
        <v>13</v>
      </c>
      <c r="E8" s="2">
        <f t="shared" si="0"/>
        <v>26000</v>
      </c>
      <c r="F8" s="2">
        <f t="shared" si="1"/>
        <v>164999.11957168349</v>
      </c>
      <c r="Q8" s="58"/>
      <c r="R8" s="58"/>
      <c r="S8" s="58"/>
    </row>
    <row r="9" spans="1:20" x14ac:dyDescent="0.25">
      <c r="A9" s="59" t="s">
        <v>27</v>
      </c>
      <c r="B9" s="59"/>
      <c r="C9" s="2">
        <f>SUM(C2:C8)</f>
        <v>20500</v>
      </c>
      <c r="Q9" s="58"/>
      <c r="R9" s="58"/>
      <c r="S9" s="58"/>
    </row>
    <row r="12" spans="1:20" x14ac:dyDescent="0.25">
      <c r="P12" t="s">
        <v>139</v>
      </c>
      <c r="Q12" s="49" t="s">
        <v>140</v>
      </c>
      <c r="R12" s="49"/>
      <c r="S12" s="49"/>
      <c r="T12" s="49"/>
    </row>
    <row r="13" spans="1:20" x14ac:dyDescent="0.25">
      <c r="Q13" s="49"/>
      <c r="R13" s="49"/>
      <c r="S13" s="49"/>
      <c r="T13" s="49"/>
    </row>
    <row r="14" spans="1:20" x14ac:dyDescent="0.25">
      <c r="Q14" s="49"/>
      <c r="R14" s="49"/>
      <c r="S14" s="49"/>
      <c r="T14" s="49"/>
    </row>
    <row r="15" spans="1:20" x14ac:dyDescent="0.25">
      <c r="Q15" s="49"/>
      <c r="R15" s="49"/>
      <c r="S15" s="49"/>
      <c r="T15" s="49"/>
    </row>
    <row r="16" spans="1:20" x14ac:dyDescent="0.25">
      <c r="B16" s="2">
        <v>0</v>
      </c>
      <c r="C16" s="2" t="s">
        <v>130</v>
      </c>
      <c r="D16" s="2" t="s">
        <v>132</v>
      </c>
    </row>
    <row r="17" spans="2:22" x14ac:dyDescent="0.25">
      <c r="B17" s="2">
        <f>C2/$C$9</f>
        <v>0.48780487804878048</v>
      </c>
      <c r="C17" s="2" t="s">
        <v>130</v>
      </c>
      <c r="D17" s="2" t="s">
        <v>131</v>
      </c>
      <c r="P17" t="s">
        <v>9</v>
      </c>
      <c r="Q17" t="s">
        <v>142</v>
      </c>
      <c r="U17">
        <f>SUM(E2:E8)*10</f>
        <v>803000</v>
      </c>
      <c r="V17" t="s">
        <v>141</v>
      </c>
    </row>
    <row r="18" spans="2:22" x14ac:dyDescent="0.25">
      <c r="B18" s="2">
        <f>SUM($C$2:C3)/$C$9</f>
        <v>0.67804878048780493</v>
      </c>
      <c r="C18" s="2" t="s">
        <v>130</v>
      </c>
      <c r="D18" s="2" t="s">
        <v>133</v>
      </c>
    </row>
    <row r="19" spans="2:22" x14ac:dyDescent="0.25">
      <c r="B19" s="2">
        <f>SUM($C$2:C4)/$C$9</f>
        <v>0.775609756097561</v>
      </c>
      <c r="C19" s="2" t="s">
        <v>130</v>
      </c>
      <c r="D19" s="2" t="s">
        <v>134</v>
      </c>
    </row>
    <row r="20" spans="2:22" x14ac:dyDescent="0.25">
      <c r="B20" s="2">
        <f>SUM($C$2:C5)/$C$9</f>
        <v>0.82926829268292679</v>
      </c>
      <c r="C20" s="2" t="s">
        <v>130</v>
      </c>
      <c r="D20" s="2" t="s">
        <v>135</v>
      </c>
    </row>
    <row r="21" spans="2:22" x14ac:dyDescent="0.25">
      <c r="B21" s="2">
        <f>SUM($C$2:C6)/$C$9</f>
        <v>0.86829268292682926</v>
      </c>
      <c r="C21" s="2" t="s">
        <v>130</v>
      </c>
      <c r="D21" s="2" t="s">
        <v>136</v>
      </c>
    </row>
    <row r="22" spans="2:22" x14ac:dyDescent="0.25">
      <c r="B22" s="2">
        <f>SUM($C$2:C7)/$C$9</f>
        <v>0.90243902439024393</v>
      </c>
      <c r="C22" s="2" t="s">
        <v>130</v>
      </c>
      <c r="D22" s="2" t="s">
        <v>137</v>
      </c>
    </row>
    <row r="23" spans="2:22" x14ac:dyDescent="0.25">
      <c r="B23" s="2">
        <f>SUM($C$2:C8)/$C$9</f>
        <v>1</v>
      </c>
      <c r="C23" s="2" t="s">
        <v>130</v>
      </c>
      <c r="D23" s="2" t="s">
        <v>138</v>
      </c>
    </row>
  </sheetData>
  <mergeCells count="3">
    <mergeCell ref="A9:B9"/>
    <mergeCell ref="Q5:S9"/>
    <mergeCell ref="Q12:T15"/>
  </mergeCells>
  <pageMargins left="0.511811024" right="0.511811024" top="0.78740157499999996" bottom="0.78740157499999996" header="0.31496062000000002" footer="0.31496062000000002"/>
  <ignoredErrors>
    <ignoredError sqref="B18:B22" formulaRange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S8" sqref="S8"/>
    </sheetView>
  </sheetViews>
  <sheetFormatPr defaultRowHeight="15" x14ac:dyDescent="0.25"/>
  <cols>
    <col min="2" max="2" width="10.140625" bestFit="1" customWidth="1"/>
  </cols>
  <sheetData>
    <row r="1" spans="1:11" x14ac:dyDescent="0.25">
      <c r="A1" t="s">
        <v>99</v>
      </c>
      <c r="B1" t="s">
        <v>143</v>
      </c>
      <c r="C1" t="s">
        <v>144</v>
      </c>
      <c r="D1" t="s">
        <v>145</v>
      </c>
      <c r="G1" t="s">
        <v>2</v>
      </c>
      <c r="H1">
        <f>SUM(C2:C6)</f>
        <v>6.9</v>
      </c>
      <c r="K1" t="s">
        <v>102</v>
      </c>
    </row>
    <row r="2" spans="1:11" x14ac:dyDescent="0.25">
      <c r="A2">
        <v>3</v>
      </c>
      <c r="B2">
        <v>0.15</v>
      </c>
      <c r="C2">
        <f>A2*B2</f>
        <v>0.44999999999999996</v>
      </c>
      <c r="D2">
        <f>B2*((A2-$H$1)^2)</f>
        <v>2.2815000000000003</v>
      </c>
      <c r="G2" t="s">
        <v>127</v>
      </c>
      <c r="H2">
        <f>SUM(D2:D6)</f>
        <v>6.19</v>
      </c>
      <c r="K2" t="s">
        <v>103</v>
      </c>
    </row>
    <row r="3" spans="1:11" x14ac:dyDescent="0.25">
      <c r="A3">
        <v>5</v>
      </c>
      <c r="B3">
        <v>0.25</v>
      </c>
      <c r="C3">
        <f t="shared" ref="C3:C6" si="0">A3*B3</f>
        <v>1.25</v>
      </c>
      <c r="D3">
        <f t="shared" ref="D3:D6" si="1">B3*((A3-$H$1)^2)</f>
        <v>0.9025000000000003</v>
      </c>
      <c r="G3" t="s">
        <v>146</v>
      </c>
      <c r="H3">
        <f>SQRT(H2)</f>
        <v>2.4879710609249459</v>
      </c>
    </row>
    <row r="4" spans="1:11" x14ac:dyDescent="0.25">
      <c r="A4">
        <v>7</v>
      </c>
      <c r="B4">
        <v>0.2</v>
      </c>
      <c r="C4">
        <f t="shared" si="0"/>
        <v>1.4000000000000001</v>
      </c>
      <c r="D4">
        <f t="shared" si="1"/>
        <v>1.9999999999999857E-3</v>
      </c>
      <c r="G4" t="s">
        <v>56</v>
      </c>
      <c r="H4">
        <v>9</v>
      </c>
    </row>
    <row r="5" spans="1:11" x14ac:dyDescent="0.25">
      <c r="A5">
        <v>9</v>
      </c>
      <c r="B5">
        <v>0.3</v>
      </c>
      <c r="C5">
        <f t="shared" si="0"/>
        <v>2.6999999999999997</v>
      </c>
      <c r="D5">
        <f t="shared" si="1"/>
        <v>1.3229999999999995</v>
      </c>
      <c r="G5" t="s">
        <v>147</v>
      </c>
      <c r="H5">
        <v>7</v>
      </c>
    </row>
    <row r="6" spans="1:11" x14ac:dyDescent="0.25">
      <c r="A6">
        <v>11</v>
      </c>
      <c r="B6">
        <v>0.1</v>
      </c>
      <c r="C6">
        <f t="shared" si="0"/>
        <v>1.1000000000000001</v>
      </c>
      <c r="D6">
        <f t="shared" si="1"/>
        <v>1.681</v>
      </c>
      <c r="G6" t="s">
        <v>79</v>
      </c>
      <c r="H6">
        <v>4.8</v>
      </c>
    </row>
    <row r="9" spans="1:11" x14ac:dyDescent="0.25">
      <c r="A9" t="s">
        <v>16</v>
      </c>
      <c r="B9" t="s">
        <v>143</v>
      </c>
    </row>
    <row r="10" spans="1:11" x14ac:dyDescent="0.25">
      <c r="A10" t="s">
        <v>119</v>
      </c>
      <c r="B10" s="43">
        <v>0.15</v>
      </c>
      <c r="E10" s="52" t="s">
        <v>148</v>
      </c>
      <c r="F10" s="52"/>
      <c r="G10" s="52"/>
    </row>
    <row r="11" spans="1:11" x14ac:dyDescent="0.25">
      <c r="A11" t="s">
        <v>120</v>
      </c>
      <c r="B11" s="43">
        <v>0.25</v>
      </c>
      <c r="E11" t="s">
        <v>149</v>
      </c>
      <c r="F11" t="s">
        <v>152</v>
      </c>
      <c r="G11">
        <f>4.8</f>
        <v>4.8</v>
      </c>
    </row>
    <row r="12" spans="1:11" x14ac:dyDescent="0.25">
      <c r="A12" t="s">
        <v>121</v>
      </c>
      <c r="B12" s="43">
        <v>0.2</v>
      </c>
    </row>
    <row r="13" spans="1:11" x14ac:dyDescent="0.25">
      <c r="A13" t="s">
        <v>122</v>
      </c>
      <c r="B13" s="43">
        <v>0.3</v>
      </c>
      <c r="E13" t="s">
        <v>150</v>
      </c>
    </row>
    <row r="14" spans="1:11" x14ac:dyDescent="0.25">
      <c r="A14" t="s">
        <v>123</v>
      </c>
      <c r="B14" s="43">
        <v>0.1</v>
      </c>
      <c r="E14" t="s">
        <v>149</v>
      </c>
      <c r="F14" t="s">
        <v>151</v>
      </c>
      <c r="G14">
        <v>7</v>
      </c>
    </row>
  </sheetData>
  <mergeCells count="1">
    <mergeCell ref="E10:G10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B22"/>
    </sheetView>
  </sheetViews>
  <sheetFormatPr defaultRowHeight="15" x14ac:dyDescent="0.25"/>
  <cols>
    <col min="1" max="1" width="11.140625" bestFit="1" customWidth="1"/>
    <col min="2" max="2" width="11" bestFit="1" customWidth="1"/>
    <col min="6" max="6" width="19.5703125" bestFit="1" customWidth="1"/>
    <col min="7" max="7" width="12.7109375" bestFit="1" customWidth="1"/>
    <col min="8" max="8" width="19.5703125" bestFit="1" customWidth="1"/>
    <col min="9" max="9" width="12.7109375" bestFit="1" customWidth="1"/>
  </cols>
  <sheetData>
    <row r="1" spans="1:9" x14ac:dyDescent="0.25">
      <c r="A1" s="2" t="s">
        <v>153</v>
      </c>
      <c r="B1" s="2" t="s">
        <v>154</v>
      </c>
      <c r="F1" s="50" t="s">
        <v>153</v>
      </c>
      <c r="G1" s="50"/>
      <c r="H1" s="50" t="s">
        <v>154</v>
      </c>
      <c r="I1" s="50"/>
    </row>
    <row r="2" spans="1:9" x14ac:dyDescent="0.25">
      <c r="A2" s="2">
        <v>45</v>
      </c>
      <c r="B2" s="2">
        <v>57</v>
      </c>
      <c r="F2" s="18"/>
      <c r="G2" s="18"/>
      <c r="H2" s="18"/>
      <c r="I2" s="18"/>
    </row>
    <row r="3" spans="1:9" x14ac:dyDescent="0.25">
      <c r="A3" s="2">
        <v>60</v>
      </c>
      <c r="B3" s="2">
        <v>55</v>
      </c>
      <c r="F3" s="18" t="s">
        <v>2</v>
      </c>
      <c r="G3" s="18">
        <v>55.722222222222221</v>
      </c>
      <c r="H3" s="18" t="s">
        <v>2</v>
      </c>
      <c r="I3" s="18">
        <v>55.428571428571431</v>
      </c>
    </row>
    <row r="4" spans="1:9" x14ac:dyDescent="0.25">
      <c r="A4" s="2">
        <v>54</v>
      </c>
      <c r="B4" s="2">
        <v>58</v>
      </c>
      <c r="F4" s="18" t="s">
        <v>33</v>
      </c>
      <c r="G4" s="18">
        <v>1.8092094752127805</v>
      </c>
      <c r="H4" s="18" t="s">
        <v>33</v>
      </c>
      <c r="I4" s="18">
        <v>0.69203436665085538</v>
      </c>
    </row>
    <row r="5" spans="1:9" x14ac:dyDescent="0.25">
      <c r="A5" s="2">
        <v>62</v>
      </c>
      <c r="B5" s="2">
        <v>50</v>
      </c>
      <c r="F5" s="18" t="s">
        <v>3</v>
      </c>
      <c r="G5" s="18">
        <v>55</v>
      </c>
      <c r="H5" s="18" t="s">
        <v>3</v>
      </c>
      <c r="I5" s="18">
        <v>56</v>
      </c>
    </row>
    <row r="6" spans="1:9" x14ac:dyDescent="0.25">
      <c r="A6" s="2">
        <v>55</v>
      </c>
      <c r="B6" s="2">
        <v>52</v>
      </c>
      <c r="F6" s="18" t="s">
        <v>34</v>
      </c>
      <c r="G6" s="18">
        <v>55</v>
      </c>
      <c r="H6" s="18" t="s">
        <v>34</v>
      </c>
      <c r="I6" s="18">
        <v>57</v>
      </c>
    </row>
    <row r="7" spans="1:9" x14ac:dyDescent="0.25">
      <c r="A7" s="2">
        <v>70</v>
      </c>
      <c r="B7" s="2">
        <v>59</v>
      </c>
      <c r="F7" s="18" t="s">
        <v>35</v>
      </c>
      <c r="G7" s="18">
        <v>7.6758257310594722</v>
      </c>
      <c r="H7" s="18" t="s">
        <v>35</v>
      </c>
      <c r="I7" s="18">
        <v>3.1712998686883682</v>
      </c>
    </row>
    <row r="8" spans="1:9" x14ac:dyDescent="0.25">
      <c r="A8" s="2">
        <v>38</v>
      </c>
      <c r="B8" s="2">
        <v>59</v>
      </c>
      <c r="F8" s="18" t="s">
        <v>36</v>
      </c>
      <c r="G8" s="18">
        <v>58.918300653594677</v>
      </c>
      <c r="H8" s="18" t="s">
        <v>36</v>
      </c>
      <c r="I8" s="18">
        <v>10.05714285714286</v>
      </c>
    </row>
    <row r="9" spans="1:9" x14ac:dyDescent="0.25">
      <c r="A9" s="2">
        <v>48</v>
      </c>
      <c r="B9" s="2">
        <v>55</v>
      </c>
      <c r="F9" s="18" t="s">
        <v>37</v>
      </c>
      <c r="G9" s="18">
        <v>0.61305797189994315</v>
      </c>
      <c r="H9" s="18" t="s">
        <v>37</v>
      </c>
      <c r="I9" s="18">
        <v>-0.8413000274122826</v>
      </c>
    </row>
    <row r="10" spans="1:9" x14ac:dyDescent="0.25">
      <c r="A10" s="2">
        <v>64</v>
      </c>
      <c r="B10" s="2">
        <v>56</v>
      </c>
      <c r="F10" s="18" t="s">
        <v>38</v>
      </c>
      <c r="G10" s="18">
        <v>-0.44131707505078666</v>
      </c>
      <c r="H10" s="18" t="s">
        <v>38</v>
      </c>
      <c r="I10" s="18">
        <v>-0.2586322305720371</v>
      </c>
    </row>
    <row r="11" spans="1:9" x14ac:dyDescent="0.25">
      <c r="A11" s="2">
        <v>55</v>
      </c>
      <c r="B11" s="2">
        <v>61</v>
      </c>
      <c r="F11" s="18" t="s">
        <v>39</v>
      </c>
      <c r="G11" s="18">
        <v>32</v>
      </c>
      <c r="H11" s="18" t="s">
        <v>39</v>
      </c>
      <c r="I11" s="18">
        <v>11</v>
      </c>
    </row>
    <row r="12" spans="1:9" x14ac:dyDescent="0.25">
      <c r="A12" s="2">
        <v>56</v>
      </c>
      <c r="B12" s="2">
        <v>52</v>
      </c>
      <c r="F12" s="18" t="s">
        <v>15</v>
      </c>
      <c r="G12" s="18">
        <v>38</v>
      </c>
      <c r="H12" s="18" t="s">
        <v>15</v>
      </c>
      <c r="I12" s="18">
        <v>50</v>
      </c>
    </row>
    <row r="13" spans="1:9" x14ac:dyDescent="0.25">
      <c r="A13" s="2">
        <v>55</v>
      </c>
      <c r="B13" s="2">
        <v>53</v>
      </c>
      <c r="F13" s="18" t="s">
        <v>22</v>
      </c>
      <c r="G13" s="18">
        <v>70</v>
      </c>
      <c r="H13" s="18" t="s">
        <v>22</v>
      </c>
      <c r="I13" s="18">
        <v>61</v>
      </c>
    </row>
    <row r="14" spans="1:9" x14ac:dyDescent="0.25">
      <c r="A14" s="2">
        <v>54</v>
      </c>
      <c r="B14" s="2">
        <v>57</v>
      </c>
      <c r="F14" s="18" t="s">
        <v>40</v>
      </c>
      <c r="G14" s="18">
        <v>1003</v>
      </c>
      <c r="H14" s="18" t="s">
        <v>40</v>
      </c>
      <c r="I14" s="18">
        <v>1164</v>
      </c>
    </row>
    <row r="15" spans="1:9" ht="15.75" thickBot="1" x14ac:dyDescent="0.3">
      <c r="A15" s="2">
        <v>59</v>
      </c>
      <c r="B15" s="2">
        <v>57</v>
      </c>
      <c r="F15" s="19" t="s">
        <v>41</v>
      </c>
      <c r="G15" s="19">
        <v>18</v>
      </c>
      <c r="H15" s="19" t="s">
        <v>41</v>
      </c>
      <c r="I15" s="19">
        <v>21</v>
      </c>
    </row>
    <row r="16" spans="1:9" x14ac:dyDescent="0.25">
      <c r="A16" s="2">
        <v>48</v>
      </c>
      <c r="B16" s="2">
        <v>50</v>
      </c>
    </row>
    <row r="17" spans="1:10" x14ac:dyDescent="0.25">
      <c r="A17" s="2">
        <v>65</v>
      </c>
      <c r="B17" s="2">
        <v>55</v>
      </c>
    </row>
    <row r="18" spans="1:10" x14ac:dyDescent="0.25">
      <c r="A18" s="2">
        <v>55</v>
      </c>
      <c r="B18" s="2">
        <v>58</v>
      </c>
      <c r="F18" t="s">
        <v>155</v>
      </c>
    </row>
    <row r="19" spans="1:10" x14ac:dyDescent="0.25">
      <c r="A19" s="2">
        <v>60</v>
      </c>
      <c r="B19" s="2">
        <v>54</v>
      </c>
      <c r="F19" t="s">
        <v>156</v>
      </c>
      <c r="G19">
        <f>_xlfn.QUARTILE.EXC($A$2:$A$19,1)</f>
        <v>52.5</v>
      </c>
      <c r="I19" t="s">
        <v>161</v>
      </c>
      <c r="J19">
        <f>_xlfn.QUARTILE.EXC($B$2:$B$22,1)</f>
        <v>52.5</v>
      </c>
    </row>
    <row r="20" spans="1:10" x14ac:dyDescent="0.25">
      <c r="A20" s="2"/>
      <c r="B20" s="2">
        <v>59</v>
      </c>
      <c r="F20" t="s">
        <v>157</v>
      </c>
      <c r="G20">
        <f>_xlfn.QUARTILE.EXC($A$2:$A$19,2)</f>
        <v>55</v>
      </c>
      <c r="I20" t="s">
        <v>162</v>
      </c>
      <c r="J20">
        <f>_xlfn.QUARTILE.EXC($B$2:$B$22,2)</f>
        <v>56</v>
      </c>
    </row>
    <row r="21" spans="1:10" x14ac:dyDescent="0.25">
      <c r="A21" s="2"/>
      <c r="B21" s="2">
        <v>51</v>
      </c>
      <c r="F21" t="s">
        <v>158</v>
      </c>
      <c r="G21">
        <f>_xlfn.QUARTILE.EXC($A$2:$A$19,3)</f>
        <v>60.5</v>
      </c>
      <c r="I21" t="s">
        <v>163</v>
      </c>
      <c r="J21">
        <f>_xlfn.QUARTILE.EXC($B$2:$B$22,3)</f>
        <v>58</v>
      </c>
    </row>
    <row r="22" spans="1:10" x14ac:dyDescent="0.25">
      <c r="A22" s="2"/>
      <c r="B22" s="2">
        <v>56</v>
      </c>
      <c r="F22" t="s">
        <v>159</v>
      </c>
      <c r="G22">
        <f>G20-G19</f>
        <v>2.5</v>
      </c>
      <c r="I22" t="s">
        <v>164</v>
      </c>
      <c r="J22">
        <f>J20-J19</f>
        <v>3.5</v>
      </c>
    </row>
    <row r="23" spans="1:10" x14ac:dyDescent="0.25">
      <c r="F23" t="s">
        <v>160</v>
      </c>
      <c r="G23">
        <f>G21-G20</f>
        <v>5.5</v>
      </c>
      <c r="I23" t="s">
        <v>165</v>
      </c>
      <c r="J23">
        <f>J21-J20</f>
        <v>2</v>
      </c>
    </row>
    <row r="24" spans="1:10" x14ac:dyDescent="0.25">
      <c r="F24" t="s">
        <v>166</v>
      </c>
      <c r="G24">
        <f>G13-G20</f>
        <v>15</v>
      </c>
      <c r="I24" t="s">
        <v>166</v>
      </c>
      <c r="J24">
        <f>I13-J20</f>
        <v>5</v>
      </c>
    </row>
    <row r="25" spans="1:10" x14ac:dyDescent="0.25">
      <c r="F25" t="s">
        <v>167</v>
      </c>
      <c r="G25">
        <f>G20-G12</f>
        <v>17</v>
      </c>
      <c r="I25" t="s">
        <v>167</v>
      </c>
      <c r="J25">
        <f>J20-I12</f>
        <v>6</v>
      </c>
    </row>
    <row r="26" spans="1:10" x14ac:dyDescent="0.25">
      <c r="F26" s="52" t="s">
        <v>169</v>
      </c>
      <c r="G26" s="52"/>
      <c r="I26" s="52" t="s">
        <v>168</v>
      </c>
      <c r="J26" s="52"/>
    </row>
  </sheetData>
  <mergeCells count="4">
    <mergeCell ref="F1:G1"/>
    <mergeCell ref="H1:I1"/>
    <mergeCell ref="F26:G26"/>
    <mergeCell ref="I26:J26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J20" sqref="J20"/>
    </sheetView>
  </sheetViews>
  <sheetFormatPr defaultRowHeight="15" x14ac:dyDescent="0.25"/>
  <cols>
    <col min="1" max="1" width="11.140625" bestFit="1" customWidth="1"/>
    <col min="2" max="2" width="11" bestFit="1" customWidth="1"/>
    <col min="3" max="3" width="11" customWidth="1"/>
    <col min="4" max="4" width="54.7109375" bestFit="1" customWidth="1"/>
    <col min="5" max="6" width="12" bestFit="1" customWidth="1"/>
    <col min="7" max="7" width="11" customWidth="1"/>
  </cols>
  <sheetData>
    <row r="1" spans="1:13" x14ac:dyDescent="0.25">
      <c r="A1" s="2" t="s">
        <v>153</v>
      </c>
      <c r="B1" s="2" t="s">
        <v>154</v>
      </c>
      <c r="C1" s="2"/>
      <c r="D1" t="s">
        <v>178</v>
      </c>
      <c r="G1" s="2"/>
    </row>
    <row r="2" spans="1:13" ht="15.75" thickBot="1" x14ac:dyDescent="0.3">
      <c r="A2" s="2">
        <v>45</v>
      </c>
      <c r="B2" s="2">
        <v>57</v>
      </c>
      <c r="C2" s="2"/>
      <c r="G2" s="2"/>
      <c r="H2" s="60" t="s">
        <v>183</v>
      </c>
      <c r="I2" s="60"/>
      <c r="J2" s="60"/>
      <c r="K2" s="60"/>
      <c r="L2" s="60"/>
      <c r="M2" s="60"/>
    </row>
    <row r="3" spans="1:13" x14ac:dyDescent="0.25">
      <c r="A3" s="2">
        <v>60</v>
      </c>
      <c r="B3" s="2">
        <v>55</v>
      </c>
      <c r="C3" s="2"/>
      <c r="D3" s="20"/>
      <c r="E3" s="20" t="s">
        <v>153</v>
      </c>
      <c r="F3" s="20" t="s">
        <v>154</v>
      </c>
      <c r="G3" s="2"/>
      <c r="H3" s="60"/>
      <c r="I3" s="60"/>
      <c r="J3" s="60"/>
      <c r="K3" s="60"/>
      <c r="L3" s="60"/>
      <c r="M3" s="60"/>
    </row>
    <row r="4" spans="1:13" x14ac:dyDescent="0.25">
      <c r="A4" s="2">
        <v>54</v>
      </c>
      <c r="B4" s="2">
        <v>58</v>
      </c>
      <c r="C4" s="2"/>
      <c r="D4" s="18" t="s">
        <v>2</v>
      </c>
      <c r="E4" s="18">
        <v>55.722222222222221</v>
      </c>
      <c r="F4" s="18">
        <v>55.428571428571431</v>
      </c>
      <c r="G4" s="2"/>
      <c r="H4" s="60"/>
      <c r="I4" s="60"/>
      <c r="J4" s="60"/>
      <c r="K4" s="60"/>
      <c r="L4" s="60"/>
      <c r="M4" s="60"/>
    </row>
    <row r="5" spans="1:13" x14ac:dyDescent="0.25">
      <c r="A5" s="2">
        <v>62</v>
      </c>
      <c r="B5" s="2">
        <v>50</v>
      </c>
      <c r="C5" s="2"/>
      <c r="D5" s="18" t="s">
        <v>94</v>
      </c>
      <c r="E5" s="18">
        <v>58.918300653594677</v>
      </c>
      <c r="F5" s="18">
        <v>10.05714285714286</v>
      </c>
      <c r="G5" s="2"/>
      <c r="H5" s="60"/>
      <c r="I5" s="60"/>
      <c r="J5" s="60"/>
      <c r="K5" s="60"/>
      <c r="L5" s="60"/>
      <c r="M5" s="60"/>
    </row>
    <row r="6" spans="1:13" x14ac:dyDescent="0.25">
      <c r="A6" s="2">
        <v>55</v>
      </c>
      <c r="B6" s="2">
        <v>52</v>
      </c>
      <c r="C6" s="2"/>
      <c r="D6" s="18" t="s">
        <v>170</v>
      </c>
      <c r="E6" s="18">
        <v>18</v>
      </c>
      <c r="F6" s="18">
        <v>21</v>
      </c>
      <c r="G6" s="2"/>
      <c r="H6" s="60"/>
      <c r="I6" s="60"/>
      <c r="J6" s="60"/>
      <c r="K6" s="60"/>
      <c r="L6" s="60"/>
      <c r="M6" s="60"/>
    </row>
    <row r="7" spans="1:13" x14ac:dyDescent="0.25">
      <c r="A7" s="2">
        <v>70</v>
      </c>
      <c r="B7" s="2">
        <v>59</v>
      </c>
      <c r="C7" s="2"/>
      <c r="D7" s="18" t="s">
        <v>179</v>
      </c>
      <c r="E7" s="18">
        <v>32.506864006863971</v>
      </c>
      <c r="F7" s="18"/>
      <c r="G7" s="2"/>
      <c r="H7" s="60"/>
      <c r="I7" s="60"/>
      <c r="J7" s="60"/>
      <c r="K7" s="60"/>
      <c r="L7" s="60"/>
      <c r="M7" s="60"/>
    </row>
    <row r="8" spans="1:13" x14ac:dyDescent="0.25">
      <c r="A8" s="2">
        <v>38</v>
      </c>
      <c r="B8" s="2">
        <v>59</v>
      </c>
      <c r="C8" s="2"/>
      <c r="D8" s="18" t="s">
        <v>171</v>
      </c>
      <c r="E8" s="18">
        <v>0</v>
      </c>
      <c r="F8" s="18"/>
      <c r="G8" s="2"/>
      <c r="H8" s="60"/>
      <c r="I8" s="60"/>
      <c r="J8" s="60"/>
      <c r="K8" s="60"/>
      <c r="L8" s="60"/>
      <c r="M8" s="60"/>
    </row>
    <row r="9" spans="1:13" x14ac:dyDescent="0.25">
      <c r="A9" s="2">
        <v>48</v>
      </c>
      <c r="B9" s="2">
        <v>55</v>
      </c>
      <c r="C9" s="2"/>
      <c r="D9" s="18" t="s">
        <v>172</v>
      </c>
      <c r="E9" s="18">
        <v>37</v>
      </c>
      <c r="F9" s="18"/>
      <c r="G9" s="2"/>
      <c r="H9" s="60"/>
      <c r="I9" s="60"/>
      <c r="J9" s="60"/>
      <c r="K9" s="60"/>
      <c r="L9" s="60"/>
      <c r="M9" s="60"/>
    </row>
    <row r="10" spans="1:13" x14ac:dyDescent="0.25">
      <c r="A10" s="2">
        <v>64</v>
      </c>
      <c r="B10" s="2">
        <v>56</v>
      </c>
      <c r="C10" s="2"/>
      <c r="D10" s="18" t="s">
        <v>173</v>
      </c>
      <c r="E10" s="18">
        <v>0.16034567055345611</v>
      </c>
      <c r="F10" s="18"/>
      <c r="G10" s="2"/>
      <c r="H10" s="60"/>
      <c r="I10" s="60"/>
      <c r="J10" s="60"/>
      <c r="K10" s="60"/>
      <c r="L10" s="60"/>
      <c r="M10" s="60"/>
    </row>
    <row r="11" spans="1:13" x14ac:dyDescent="0.25">
      <c r="A11" s="2">
        <v>55</v>
      </c>
      <c r="B11" s="2">
        <v>61</v>
      </c>
      <c r="C11" s="2"/>
      <c r="D11" s="18" t="s">
        <v>174</v>
      </c>
      <c r="E11" s="18">
        <v>0.43674050881735693</v>
      </c>
      <c r="F11" s="18"/>
      <c r="G11" s="2"/>
      <c r="H11" s="60"/>
      <c r="I11" s="60"/>
      <c r="J11" s="60"/>
      <c r="K11" s="60"/>
      <c r="L11" s="60"/>
      <c r="M11" s="60"/>
    </row>
    <row r="12" spans="1:13" x14ac:dyDescent="0.25">
      <c r="A12" s="2">
        <v>56</v>
      </c>
      <c r="B12" s="2">
        <v>52</v>
      </c>
      <c r="C12" s="2"/>
      <c r="D12" s="18" t="s">
        <v>175</v>
      </c>
      <c r="E12" s="18">
        <v>1.6870936195962629</v>
      </c>
      <c r="F12" s="18"/>
      <c r="G12" s="2"/>
      <c r="H12" s="60"/>
      <c r="I12" s="60"/>
      <c r="J12" s="60"/>
      <c r="K12" s="60"/>
      <c r="L12" s="60"/>
      <c r="M12" s="60"/>
    </row>
    <row r="13" spans="1:13" x14ac:dyDescent="0.25">
      <c r="A13" s="2">
        <v>55</v>
      </c>
      <c r="B13" s="2">
        <v>53</v>
      </c>
      <c r="C13" s="2"/>
      <c r="D13" s="18" t="s">
        <v>176</v>
      </c>
      <c r="E13" s="18">
        <v>0.87348101763471386</v>
      </c>
      <c r="F13" s="18"/>
      <c r="G13" s="2"/>
      <c r="H13" s="60"/>
      <c r="I13" s="60"/>
      <c r="J13" s="60"/>
      <c r="K13" s="60"/>
      <c r="L13" s="60"/>
      <c r="M13" s="60"/>
    </row>
    <row r="14" spans="1:13" ht="15.75" thickBot="1" x14ac:dyDescent="0.3">
      <c r="A14" s="2">
        <v>54</v>
      </c>
      <c r="B14" s="2">
        <v>57</v>
      </c>
      <c r="C14" s="2"/>
      <c r="D14" s="19" t="s">
        <v>177</v>
      </c>
      <c r="E14" s="19">
        <v>2.026192463029111</v>
      </c>
      <c r="F14" s="19"/>
      <c r="G14" s="2"/>
      <c r="H14" s="60"/>
      <c r="I14" s="60"/>
      <c r="J14" s="60"/>
      <c r="K14" s="60"/>
      <c r="L14" s="60"/>
      <c r="M14" s="60"/>
    </row>
    <row r="15" spans="1:13" x14ac:dyDescent="0.25">
      <c r="A15" s="2">
        <v>59</v>
      </c>
      <c r="B15" s="2">
        <v>57</v>
      </c>
      <c r="C15" s="2"/>
      <c r="D15" s="2"/>
      <c r="E15" s="2"/>
      <c r="F15" s="2"/>
      <c r="G15" s="2"/>
    </row>
    <row r="16" spans="1:13" x14ac:dyDescent="0.25">
      <c r="A16" s="2">
        <v>48</v>
      </c>
      <c r="B16" s="2">
        <v>50</v>
      </c>
      <c r="C16" s="2"/>
      <c r="D16" s="2"/>
      <c r="E16" s="2"/>
      <c r="F16" s="2"/>
      <c r="G16" s="2"/>
    </row>
    <row r="17" spans="1:7" x14ac:dyDescent="0.25">
      <c r="A17" s="2">
        <v>65</v>
      </c>
      <c r="B17" s="2">
        <v>55</v>
      </c>
      <c r="C17" s="2"/>
      <c r="D17" s="2"/>
      <c r="E17" s="2"/>
      <c r="F17" s="2"/>
      <c r="G17" s="2"/>
    </row>
    <row r="18" spans="1:7" x14ac:dyDescent="0.25">
      <c r="A18" s="2">
        <v>55</v>
      </c>
      <c r="B18" s="2">
        <v>58</v>
      </c>
      <c r="C18" s="2"/>
      <c r="D18" t="s">
        <v>182</v>
      </c>
      <c r="E18" s="2">
        <f>(E4-F4)/(SQRT(E7)*SQRT((1/E6)+(1/F6)))</f>
        <v>0.16034567055345611</v>
      </c>
      <c r="F18" s="2" t="s">
        <v>180</v>
      </c>
      <c r="G18" s="2">
        <v>2</v>
      </c>
    </row>
    <row r="19" spans="1:7" x14ac:dyDescent="0.25">
      <c r="A19" s="2">
        <v>60</v>
      </c>
      <c r="B19" s="2">
        <v>54</v>
      </c>
      <c r="C19" s="2"/>
      <c r="D19" s="2"/>
      <c r="E19" s="2"/>
      <c r="F19" s="2"/>
      <c r="G19" s="2"/>
    </row>
    <row r="20" spans="1:7" x14ac:dyDescent="0.25">
      <c r="A20" s="2"/>
      <c r="B20" s="2">
        <v>59</v>
      </c>
      <c r="C20" s="2"/>
      <c r="D20" s="59" t="s">
        <v>181</v>
      </c>
      <c r="E20" s="59"/>
      <c r="F20" s="59"/>
      <c r="G20" s="59"/>
    </row>
    <row r="21" spans="1:7" x14ac:dyDescent="0.25">
      <c r="A21" s="2"/>
      <c r="B21" s="2">
        <v>51</v>
      </c>
      <c r="C21" s="2"/>
      <c r="D21" s="2"/>
      <c r="E21" s="2"/>
      <c r="F21" s="2"/>
      <c r="G21" s="2"/>
    </row>
    <row r="22" spans="1:7" x14ac:dyDescent="0.25">
      <c r="A22" s="2"/>
      <c r="B22" s="2">
        <v>56</v>
      </c>
      <c r="C22" s="2"/>
      <c r="D22" s="2"/>
      <c r="E22" s="2"/>
      <c r="F22" s="2"/>
      <c r="G22" s="2"/>
    </row>
  </sheetData>
  <mergeCells count="2">
    <mergeCell ref="D20:G20"/>
    <mergeCell ref="H2:M1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I14" sqref="I14"/>
    </sheetView>
  </sheetViews>
  <sheetFormatPr defaultRowHeight="15" x14ac:dyDescent="0.25"/>
  <cols>
    <col min="1" max="1" width="7.140625" style="2" bestFit="1" customWidth="1"/>
    <col min="2" max="2" width="12.85546875" style="2" bestFit="1" customWidth="1"/>
    <col min="3" max="3" width="15.140625" style="2" bestFit="1" customWidth="1"/>
    <col min="4" max="5" width="12.85546875" style="2" customWidth="1"/>
    <col min="7" max="7" width="15.42578125" bestFit="1" customWidth="1"/>
  </cols>
  <sheetData>
    <row r="1" spans="1:10" x14ac:dyDescent="0.25">
      <c r="A1" s="2" t="s">
        <v>184</v>
      </c>
      <c r="B1" s="2" t="s">
        <v>190</v>
      </c>
      <c r="D1" s="2" t="s">
        <v>194</v>
      </c>
      <c r="G1" t="s">
        <v>191</v>
      </c>
      <c r="H1">
        <f>AVERAGE(B2:B11)</f>
        <v>15.9</v>
      </c>
    </row>
    <row r="2" spans="1:10" x14ac:dyDescent="0.25">
      <c r="A2" s="2" t="s">
        <v>109</v>
      </c>
      <c r="B2" s="2">
        <v>20</v>
      </c>
      <c r="C2" s="2">
        <f>IF(OR(B2&lt;$H$3,B2&gt;$H$4),0,B2)</f>
        <v>20</v>
      </c>
      <c r="D2" s="2">
        <v>20</v>
      </c>
      <c r="G2" t="s">
        <v>95</v>
      </c>
      <c r="H2">
        <f>_xlfn.STDEV.P(B2:B11)</f>
        <v>3.3301651610693423</v>
      </c>
    </row>
    <row r="3" spans="1:10" x14ac:dyDescent="0.25">
      <c r="A3" s="2" t="s">
        <v>110</v>
      </c>
      <c r="B3" s="2">
        <v>16</v>
      </c>
      <c r="C3" s="2">
        <f t="shared" ref="C3:C11" si="0">IF(OR(B3&lt;$H$3,B3&gt;$H$4),0,B3)</f>
        <v>16</v>
      </c>
      <c r="D3" s="2">
        <v>16</v>
      </c>
      <c r="G3" s="2" t="s">
        <v>192</v>
      </c>
      <c r="H3">
        <f>H1-2*H2</f>
        <v>9.2396696778613148</v>
      </c>
    </row>
    <row r="4" spans="1:10" x14ac:dyDescent="0.25">
      <c r="A4" s="2" t="s">
        <v>111</v>
      </c>
      <c r="B4" s="2">
        <v>14</v>
      </c>
      <c r="C4" s="2">
        <f t="shared" si="0"/>
        <v>14</v>
      </c>
      <c r="D4" s="2">
        <v>14</v>
      </c>
      <c r="G4" s="2" t="s">
        <v>193</v>
      </c>
      <c r="H4">
        <f>H1+2*H2</f>
        <v>22.560330322138686</v>
      </c>
    </row>
    <row r="5" spans="1:10" x14ac:dyDescent="0.25">
      <c r="A5" s="2" t="s">
        <v>112</v>
      </c>
      <c r="B5" s="2">
        <v>8</v>
      </c>
      <c r="C5" s="2">
        <f t="shared" si="0"/>
        <v>0</v>
      </c>
      <c r="D5" s="2">
        <v>19</v>
      </c>
      <c r="G5" t="s">
        <v>195</v>
      </c>
      <c r="H5">
        <f>AVERAGE(D2:D10)</f>
        <v>16.777777777777779</v>
      </c>
    </row>
    <row r="6" spans="1:10" x14ac:dyDescent="0.25">
      <c r="A6" s="2" t="s">
        <v>113</v>
      </c>
      <c r="B6" s="2">
        <v>19</v>
      </c>
      <c r="C6" s="2">
        <f t="shared" si="0"/>
        <v>19</v>
      </c>
      <c r="D6" s="2">
        <v>15</v>
      </c>
    </row>
    <row r="7" spans="1:10" x14ac:dyDescent="0.25">
      <c r="A7" s="2" t="s">
        <v>185</v>
      </c>
      <c r="B7" s="2">
        <v>15</v>
      </c>
      <c r="C7" s="2">
        <f t="shared" si="0"/>
        <v>15</v>
      </c>
      <c r="D7" s="2">
        <v>14</v>
      </c>
      <c r="F7" s="59" t="s">
        <v>196</v>
      </c>
      <c r="G7" s="59"/>
      <c r="H7" s="59"/>
      <c r="I7" s="59"/>
      <c r="J7" s="59"/>
    </row>
    <row r="8" spans="1:10" x14ac:dyDescent="0.25">
      <c r="A8" s="2" t="s">
        <v>186</v>
      </c>
      <c r="B8" s="2">
        <v>14</v>
      </c>
      <c r="C8" s="2">
        <f t="shared" si="0"/>
        <v>14</v>
      </c>
      <c r="D8" s="2">
        <v>16</v>
      </c>
      <c r="F8" s="59"/>
      <c r="G8" s="59"/>
      <c r="H8" s="59"/>
      <c r="I8" s="59"/>
      <c r="J8" s="59"/>
    </row>
    <row r="9" spans="1:10" x14ac:dyDescent="0.25">
      <c r="A9" s="2" t="s">
        <v>187</v>
      </c>
      <c r="B9" s="2">
        <v>16</v>
      </c>
      <c r="C9" s="2">
        <f t="shared" si="0"/>
        <v>16</v>
      </c>
      <c r="D9" s="2">
        <v>19</v>
      </c>
      <c r="F9" s="59"/>
      <c r="G9" s="59"/>
      <c r="H9" s="59"/>
      <c r="I9" s="59"/>
      <c r="J9" s="59"/>
    </row>
    <row r="10" spans="1:10" x14ac:dyDescent="0.25">
      <c r="A10" s="2" t="s">
        <v>188</v>
      </c>
      <c r="B10" s="2">
        <v>19</v>
      </c>
      <c r="C10" s="2">
        <f t="shared" si="0"/>
        <v>19</v>
      </c>
      <c r="D10" s="2">
        <v>18</v>
      </c>
      <c r="F10" s="59"/>
      <c r="G10" s="59"/>
      <c r="H10" s="59"/>
      <c r="I10" s="59"/>
      <c r="J10" s="59"/>
    </row>
    <row r="11" spans="1:10" x14ac:dyDescent="0.25">
      <c r="A11" s="2" t="s">
        <v>189</v>
      </c>
      <c r="B11" s="2">
        <v>18</v>
      </c>
      <c r="C11" s="2">
        <f t="shared" si="0"/>
        <v>18</v>
      </c>
      <c r="F11" s="59"/>
      <c r="G11" s="59"/>
      <c r="H11" s="59"/>
      <c r="I11" s="59"/>
      <c r="J11" s="59"/>
    </row>
  </sheetData>
  <mergeCells count="1">
    <mergeCell ref="F7:J1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4" max="4" width="12" bestFit="1" customWidth="1"/>
    <col min="5" max="5" width="10" bestFit="1" customWidth="1"/>
    <col min="8" max="8" width="10" bestFit="1" customWidth="1"/>
    <col min="11" max="11" width="10" bestFit="1" customWidth="1"/>
    <col min="12" max="12" width="10.5703125" bestFit="1" customWidth="1"/>
    <col min="16" max="16" width="10" bestFit="1" customWidth="1"/>
    <col min="19" max="19" width="10" bestFit="1" customWidth="1"/>
  </cols>
  <sheetData>
    <row r="1" spans="1:20" x14ac:dyDescent="0.25">
      <c r="A1" s="14" t="s">
        <v>197</v>
      </c>
      <c r="B1" s="14" t="s">
        <v>198</v>
      </c>
      <c r="C1" s="14" t="s">
        <v>199</v>
      </c>
      <c r="D1" s="14" t="s">
        <v>32</v>
      </c>
      <c r="E1" s="14" t="s">
        <v>212</v>
      </c>
      <c r="F1" s="14" t="s">
        <v>200</v>
      </c>
      <c r="G1" s="14" t="s">
        <v>201</v>
      </c>
      <c r="H1" s="14" t="s">
        <v>32</v>
      </c>
      <c r="I1" s="14" t="s">
        <v>212</v>
      </c>
      <c r="J1" s="14" t="s">
        <v>202</v>
      </c>
      <c r="K1" s="14" t="s">
        <v>32</v>
      </c>
      <c r="L1" s="14" t="s">
        <v>212</v>
      </c>
      <c r="M1" s="14" t="s">
        <v>203</v>
      </c>
      <c r="N1" s="14" t="s">
        <v>204</v>
      </c>
      <c r="O1" s="14" t="s">
        <v>205</v>
      </c>
      <c r="P1" s="14" t="s">
        <v>32</v>
      </c>
      <c r="Q1" s="14" t="s">
        <v>212</v>
      </c>
      <c r="R1" s="14" t="s">
        <v>206</v>
      </c>
      <c r="S1" s="64" t="s">
        <v>32</v>
      </c>
      <c r="T1" s="14" t="s">
        <v>212</v>
      </c>
    </row>
    <row r="2" spans="1:20" ht="15.75" thickBot="1" x14ac:dyDescent="0.3">
      <c r="A2" s="61">
        <v>1</v>
      </c>
      <c r="B2" s="62" t="s">
        <v>207</v>
      </c>
      <c r="C2" s="63">
        <v>8</v>
      </c>
      <c r="D2" s="63">
        <f>(C2-$C$27)/$C$28</f>
        <v>0.2041241452319317</v>
      </c>
      <c r="E2" s="63">
        <f>IF(OR(D2&gt;2,D2&lt;-2),"Atipico",D2)</f>
        <v>0.2041241452319317</v>
      </c>
      <c r="F2" s="63">
        <v>9</v>
      </c>
      <c r="G2" s="63">
        <v>8.6</v>
      </c>
      <c r="H2" s="63">
        <f>(G2-$G$27)/$G$28</f>
        <v>0.77211697351601005</v>
      </c>
      <c r="I2" s="63">
        <f>IF(OR(H2&gt;2,H2&lt;-2),"Atipico",H2)</f>
        <v>0.77211697351601005</v>
      </c>
      <c r="J2" s="63">
        <v>9</v>
      </c>
      <c r="K2" s="63">
        <f>(J2-$J$27)/$J$28</f>
        <v>0.59667057837026116</v>
      </c>
      <c r="L2" s="63">
        <f>IF(OR(K2&gt;2,K2&lt;-2),"Atipico",K2)</f>
        <v>0.59667057837026116</v>
      </c>
      <c r="M2" s="62" t="s">
        <v>110</v>
      </c>
      <c r="N2" s="62" t="s">
        <v>109</v>
      </c>
      <c r="O2" s="63">
        <v>9</v>
      </c>
      <c r="P2" s="63">
        <f>(O2-$O$27)/$O$28</f>
        <v>0.75711162566629353</v>
      </c>
      <c r="Q2" s="63">
        <f>IF(OR(P2&gt;2,P2&lt;-2),"Atipico",P2)</f>
        <v>0.75711162566629353</v>
      </c>
      <c r="R2" s="63">
        <v>8.5</v>
      </c>
      <c r="S2" s="63">
        <f>(R2-$R$27)/$R$28</f>
        <v>0.39534774630743258</v>
      </c>
      <c r="T2" s="63">
        <f>IF(OR(S2&gt;2,S2&lt;-2),"Atipico",S2)</f>
        <v>0.39534774630743258</v>
      </c>
    </row>
    <row r="3" spans="1:20" ht="15.75" thickBot="1" x14ac:dyDescent="0.3">
      <c r="A3" s="61">
        <v>2</v>
      </c>
      <c r="B3" s="62" t="s">
        <v>207</v>
      </c>
      <c r="C3" s="63">
        <v>8</v>
      </c>
      <c r="D3" s="63">
        <f t="shared" ref="D3:D26" si="0">(C3-$C$27)/$C$28</f>
        <v>0.2041241452319317</v>
      </c>
      <c r="E3" s="63">
        <f t="shared" ref="E3:E26" si="1">IF(OR(D3&gt;2,D3&lt;-2),"Atipico",D3)</f>
        <v>0.2041241452319317</v>
      </c>
      <c r="F3" s="63">
        <v>9</v>
      </c>
      <c r="G3" s="63">
        <v>7</v>
      </c>
      <c r="H3" s="63">
        <f t="shared" ref="H3:H26" si="2">(G3-$G$27)/$G$28</f>
        <v>-1.246489493192515</v>
      </c>
      <c r="I3" s="63">
        <f t="shared" ref="I3:I26" si="3">IF(OR(H3&gt;2,H3&lt;-2),"Atipico",H3)</f>
        <v>-1.246489493192515</v>
      </c>
      <c r="J3" s="63">
        <v>9</v>
      </c>
      <c r="K3" s="63">
        <f t="shared" ref="K3:K26" si="4">(J3-$J$27)/$J$28</f>
        <v>0.59667057837026116</v>
      </c>
      <c r="L3" s="63">
        <f t="shared" ref="L3:L26" si="5">IF(OR(K3&gt;2,K3&lt;-2),"Atipico",K3)</f>
        <v>0.59667057837026116</v>
      </c>
      <c r="M3" s="62" t="s">
        <v>110</v>
      </c>
      <c r="N3" s="62" t="s">
        <v>111</v>
      </c>
      <c r="O3" s="63">
        <v>6.5</v>
      </c>
      <c r="P3" s="63">
        <f t="shared" ref="P3:P26" si="6">(O3-$O$27)/$O$28</f>
        <v>-0.76932310349962063</v>
      </c>
      <c r="Q3" s="63">
        <f t="shared" ref="Q3:Q26" si="7">IF(OR(P3&gt;2,P3&lt;-2),"Atipico",P3)</f>
        <v>-0.76932310349962063</v>
      </c>
      <c r="R3" s="63">
        <v>8</v>
      </c>
      <c r="S3" s="63">
        <f t="shared" ref="S3:S26" si="8">(R3-$R$27)/$R$28</f>
        <v>-0.31063037209869865</v>
      </c>
      <c r="T3" s="63">
        <f t="shared" ref="T3:T26" si="9">IF(OR(S3&gt;2,S3&lt;-2),"Atipico",S3)</f>
        <v>-0.31063037209869865</v>
      </c>
    </row>
    <row r="4" spans="1:20" ht="15.75" thickBot="1" x14ac:dyDescent="0.3">
      <c r="A4" s="61">
        <v>3</v>
      </c>
      <c r="B4" s="62" t="s">
        <v>207</v>
      </c>
      <c r="C4" s="63">
        <v>8</v>
      </c>
      <c r="D4" s="63">
        <f t="shared" si="0"/>
        <v>0.2041241452319317</v>
      </c>
      <c r="E4" s="63">
        <f t="shared" si="1"/>
        <v>0.2041241452319317</v>
      </c>
      <c r="F4" s="63">
        <v>9</v>
      </c>
      <c r="G4" s="63">
        <v>8</v>
      </c>
      <c r="H4" s="63">
        <f t="shared" si="2"/>
        <v>1.5139548500313394E-2</v>
      </c>
      <c r="I4" s="63">
        <f t="shared" si="3"/>
        <v>1.5139548500313394E-2</v>
      </c>
      <c r="J4" s="63">
        <v>8</v>
      </c>
      <c r="K4" s="63">
        <f t="shared" si="4"/>
        <v>-0.18842228790639848</v>
      </c>
      <c r="L4" s="63">
        <f t="shared" si="5"/>
        <v>-0.18842228790639848</v>
      </c>
      <c r="M4" s="62" t="s">
        <v>112</v>
      </c>
      <c r="N4" s="62" t="s">
        <v>110</v>
      </c>
      <c r="O4" s="63">
        <v>9</v>
      </c>
      <c r="P4" s="63">
        <f t="shared" si="6"/>
        <v>0.75711162566629353</v>
      </c>
      <c r="Q4" s="63">
        <f t="shared" si="7"/>
        <v>0.75711162566629353</v>
      </c>
      <c r="R4" s="63">
        <v>8.5</v>
      </c>
      <c r="S4" s="63">
        <f t="shared" si="8"/>
        <v>0.39534774630743258</v>
      </c>
      <c r="T4" s="63">
        <f t="shared" si="9"/>
        <v>0.39534774630743258</v>
      </c>
    </row>
    <row r="5" spans="1:20" ht="15.75" thickBot="1" x14ac:dyDescent="0.3">
      <c r="A5" s="61">
        <v>4</v>
      </c>
      <c r="B5" s="62" t="s">
        <v>207</v>
      </c>
      <c r="C5" s="63">
        <v>6</v>
      </c>
      <c r="D5" s="63">
        <f t="shared" si="0"/>
        <v>-1.4969103983674976</v>
      </c>
      <c r="E5" s="63">
        <f t="shared" si="1"/>
        <v>-1.4969103983674976</v>
      </c>
      <c r="F5" s="63">
        <v>9</v>
      </c>
      <c r="G5" s="63">
        <v>8.6</v>
      </c>
      <c r="H5" s="63">
        <f t="shared" si="2"/>
        <v>0.77211697351601005</v>
      </c>
      <c r="I5" s="63">
        <f t="shared" si="3"/>
        <v>0.77211697351601005</v>
      </c>
      <c r="J5" s="63">
        <v>8</v>
      </c>
      <c r="K5" s="63">
        <f t="shared" si="4"/>
        <v>-0.18842228790639848</v>
      </c>
      <c r="L5" s="63">
        <f t="shared" si="5"/>
        <v>-0.18842228790639848</v>
      </c>
      <c r="M5" s="62" t="s">
        <v>112</v>
      </c>
      <c r="N5" s="62" t="s">
        <v>111</v>
      </c>
      <c r="O5" s="63">
        <v>6</v>
      </c>
      <c r="P5" s="63">
        <f t="shared" si="6"/>
        <v>-1.0746100493328035</v>
      </c>
      <c r="Q5" s="63">
        <f t="shared" si="7"/>
        <v>-1.0746100493328035</v>
      </c>
      <c r="R5" s="63">
        <v>8.5</v>
      </c>
      <c r="S5" s="63">
        <f t="shared" si="8"/>
        <v>0.39534774630743258</v>
      </c>
      <c r="T5" s="63">
        <f t="shared" si="9"/>
        <v>0.39534774630743258</v>
      </c>
    </row>
    <row r="6" spans="1:20" ht="15.75" thickBot="1" x14ac:dyDescent="0.3">
      <c r="A6" s="61">
        <v>5</v>
      </c>
      <c r="B6" s="62" t="s">
        <v>207</v>
      </c>
      <c r="C6" s="63">
        <v>8</v>
      </c>
      <c r="D6" s="63">
        <f t="shared" si="0"/>
        <v>0.2041241452319317</v>
      </c>
      <c r="E6" s="63">
        <f t="shared" si="1"/>
        <v>0.2041241452319317</v>
      </c>
      <c r="F6" s="63">
        <v>9</v>
      </c>
      <c r="G6" s="63">
        <v>8</v>
      </c>
      <c r="H6" s="63">
        <f t="shared" si="2"/>
        <v>1.5139548500313394E-2</v>
      </c>
      <c r="I6" s="63">
        <f t="shared" si="3"/>
        <v>1.5139548500313394E-2</v>
      </c>
      <c r="J6" s="63">
        <v>9</v>
      </c>
      <c r="K6" s="63">
        <f t="shared" si="4"/>
        <v>0.59667057837026116</v>
      </c>
      <c r="L6" s="63">
        <f t="shared" si="5"/>
        <v>0.59667057837026116</v>
      </c>
      <c r="M6" s="62" t="s">
        <v>109</v>
      </c>
      <c r="N6" s="62" t="s">
        <v>109</v>
      </c>
      <c r="O6" s="63">
        <v>6.5</v>
      </c>
      <c r="P6" s="63">
        <f t="shared" si="6"/>
        <v>-0.76932310349962063</v>
      </c>
      <c r="Q6" s="63">
        <f t="shared" si="7"/>
        <v>-0.76932310349962063</v>
      </c>
      <c r="R6" s="63">
        <v>9</v>
      </c>
      <c r="S6" s="63">
        <f t="shared" si="8"/>
        <v>1.1013258647135638</v>
      </c>
      <c r="T6" s="63">
        <f t="shared" si="9"/>
        <v>1.1013258647135638</v>
      </c>
    </row>
    <row r="7" spans="1:20" ht="15.75" thickBot="1" x14ac:dyDescent="0.3">
      <c r="A7" s="61">
        <v>6</v>
      </c>
      <c r="B7" s="62" t="s">
        <v>207</v>
      </c>
      <c r="C7" s="63">
        <v>8</v>
      </c>
      <c r="D7" s="63">
        <f t="shared" si="0"/>
        <v>0.2041241452319317</v>
      </c>
      <c r="E7" s="63">
        <f t="shared" si="1"/>
        <v>0.2041241452319317</v>
      </c>
      <c r="F7" s="63">
        <v>9</v>
      </c>
      <c r="G7" s="63">
        <v>8.5</v>
      </c>
      <c r="H7" s="63">
        <f t="shared" si="2"/>
        <v>0.64595406934672761</v>
      </c>
      <c r="I7" s="63">
        <f t="shared" si="3"/>
        <v>0.64595406934672761</v>
      </c>
      <c r="J7" s="63">
        <v>10</v>
      </c>
      <c r="K7" s="63">
        <f t="shared" si="4"/>
        <v>1.3817634446469207</v>
      </c>
      <c r="L7" s="63">
        <f t="shared" si="5"/>
        <v>1.3817634446469207</v>
      </c>
      <c r="M7" s="62" t="s">
        <v>110</v>
      </c>
      <c r="N7" s="62" t="s">
        <v>109</v>
      </c>
      <c r="O7" s="63">
        <v>6.5</v>
      </c>
      <c r="P7" s="63">
        <f t="shared" si="6"/>
        <v>-0.76932310349962063</v>
      </c>
      <c r="Q7" s="63">
        <f t="shared" si="7"/>
        <v>-0.76932310349962063</v>
      </c>
      <c r="R7" s="63">
        <v>9.5</v>
      </c>
      <c r="S7" s="63">
        <f t="shared" si="8"/>
        <v>1.8073039831196951</v>
      </c>
      <c r="T7" s="63">
        <f t="shared" si="9"/>
        <v>1.8073039831196951</v>
      </c>
    </row>
    <row r="8" spans="1:20" ht="15.75" thickBot="1" x14ac:dyDescent="0.3">
      <c r="A8" s="61">
        <v>7</v>
      </c>
      <c r="B8" s="62" t="s">
        <v>207</v>
      </c>
      <c r="C8" s="63">
        <v>8</v>
      </c>
      <c r="D8" s="63">
        <f t="shared" si="0"/>
        <v>0.2041241452319317</v>
      </c>
      <c r="E8" s="63">
        <f t="shared" si="1"/>
        <v>0.2041241452319317</v>
      </c>
      <c r="F8" s="63">
        <v>9</v>
      </c>
      <c r="G8" s="63">
        <v>8.1999999999999993</v>
      </c>
      <c r="H8" s="63">
        <f t="shared" si="2"/>
        <v>0.26746535683887818</v>
      </c>
      <c r="I8" s="63">
        <f t="shared" si="3"/>
        <v>0.26746535683887818</v>
      </c>
      <c r="J8" s="63">
        <v>8</v>
      </c>
      <c r="K8" s="63">
        <f t="shared" si="4"/>
        <v>-0.18842228790639848</v>
      </c>
      <c r="L8" s="63">
        <f t="shared" si="5"/>
        <v>-0.18842228790639848</v>
      </c>
      <c r="M8" s="62" t="s">
        <v>112</v>
      </c>
      <c r="N8" s="62" t="s">
        <v>111</v>
      </c>
      <c r="O8" s="63">
        <v>9</v>
      </c>
      <c r="P8" s="63">
        <f t="shared" si="6"/>
        <v>0.75711162566629353</v>
      </c>
      <c r="Q8" s="63">
        <f t="shared" si="7"/>
        <v>0.75711162566629353</v>
      </c>
      <c r="R8" s="63">
        <v>7</v>
      </c>
      <c r="S8" s="63">
        <f t="shared" si="8"/>
        <v>-1.7225866089109612</v>
      </c>
      <c r="T8" s="63">
        <f t="shared" si="9"/>
        <v>-1.7225866089109612</v>
      </c>
    </row>
    <row r="9" spans="1:20" ht="15.75" thickBot="1" x14ac:dyDescent="0.3">
      <c r="A9" s="61">
        <v>8</v>
      </c>
      <c r="B9" s="62" t="s">
        <v>208</v>
      </c>
      <c r="C9" s="63">
        <v>10</v>
      </c>
      <c r="D9" s="63">
        <f t="shared" si="0"/>
        <v>1.905158688831361</v>
      </c>
      <c r="E9" s="63">
        <f t="shared" si="1"/>
        <v>1.905158688831361</v>
      </c>
      <c r="F9" s="63">
        <v>9</v>
      </c>
      <c r="G9" s="63">
        <v>7.5</v>
      </c>
      <c r="H9" s="63">
        <f t="shared" si="2"/>
        <v>-0.6156749723461008</v>
      </c>
      <c r="I9" s="63">
        <f t="shared" si="3"/>
        <v>-0.6156749723461008</v>
      </c>
      <c r="J9" s="63">
        <v>8</v>
      </c>
      <c r="K9" s="63">
        <f t="shared" si="4"/>
        <v>-0.18842228790639848</v>
      </c>
      <c r="L9" s="63">
        <f t="shared" si="5"/>
        <v>-0.18842228790639848</v>
      </c>
      <c r="M9" s="62" t="s">
        <v>110</v>
      </c>
      <c r="N9" s="62" t="s">
        <v>111</v>
      </c>
      <c r="O9" s="63">
        <v>6</v>
      </c>
      <c r="P9" s="63">
        <f t="shared" si="6"/>
        <v>-1.0746100493328035</v>
      </c>
      <c r="Q9" s="63">
        <f t="shared" si="7"/>
        <v>-1.0746100493328035</v>
      </c>
      <c r="R9" s="63">
        <v>8.5</v>
      </c>
      <c r="S9" s="63">
        <f t="shared" si="8"/>
        <v>0.39534774630743258</v>
      </c>
      <c r="T9" s="63">
        <f t="shared" si="9"/>
        <v>0.39534774630743258</v>
      </c>
    </row>
    <row r="10" spans="1:20" ht="15.75" thickBot="1" x14ac:dyDescent="0.3">
      <c r="A10" s="61">
        <v>9</v>
      </c>
      <c r="B10" s="62" t="s">
        <v>208</v>
      </c>
      <c r="C10" s="63">
        <v>8</v>
      </c>
      <c r="D10" s="63">
        <f t="shared" si="0"/>
        <v>0.2041241452319317</v>
      </c>
      <c r="E10" s="63">
        <f t="shared" si="1"/>
        <v>0.2041241452319317</v>
      </c>
      <c r="F10" s="63">
        <v>9</v>
      </c>
      <c r="G10" s="63">
        <v>9.4</v>
      </c>
      <c r="H10" s="63">
        <f t="shared" si="2"/>
        <v>1.7814202068702738</v>
      </c>
      <c r="I10" s="63">
        <f t="shared" si="3"/>
        <v>1.7814202068702738</v>
      </c>
      <c r="J10" s="63">
        <v>9</v>
      </c>
      <c r="K10" s="63">
        <f t="shared" si="4"/>
        <v>0.59667057837026116</v>
      </c>
      <c r="L10" s="63">
        <f t="shared" si="5"/>
        <v>0.59667057837026116</v>
      </c>
      <c r="M10" s="62" t="s">
        <v>110</v>
      </c>
      <c r="N10" s="62" t="s">
        <v>110</v>
      </c>
      <c r="O10" s="63">
        <v>10</v>
      </c>
      <c r="P10" s="63">
        <f t="shared" si="6"/>
        <v>1.3676855173326592</v>
      </c>
      <c r="Q10" s="63">
        <f t="shared" si="7"/>
        <v>1.3676855173326592</v>
      </c>
      <c r="R10" s="63">
        <v>8</v>
      </c>
      <c r="S10" s="63">
        <f t="shared" si="8"/>
        <v>-0.31063037209869865</v>
      </c>
      <c r="T10" s="63">
        <f t="shared" si="9"/>
        <v>-0.31063037209869865</v>
      </c>
    </row>
    <row r="11" spans="1:20" ht="15.75" thickBot="1" x14ac:dyDescent="0.3">
      <c r="A11" s="61">
        <v>10</v>
      </c>
      <c r="B11" s="62" t="s">
        <v>208</v>
      </c>
      <c r="C11" s="63">
        <v>10</v>
      </c>
      <c r="D11" s="63">
        <f t="shared" si="0"/>
        <v>1.905158688831361</v>
      </c>
      <c r="E11" s="63">
        <f t="shared" si="1"/>
        <v>1.905158688831361</v>
      </c>
      <c r="F11" s="63">
        <v>9</v>
      </c>
      <c r="G11" s="63">
        <v>7.9</v>
      </c>
      <c r="H11" s="63">
        <f t="shared" si="2"/>
        <v>-0.11102335566896901</v>
      </c>
      <c r="I11" s="63">
        <f t="shared" si="3"/>
        <v>-0.11102335566896901</v>
      </c>
      <c r="J11" s="63">
        <v>8</v>
      </c>
      <c r="K11" s="63">
        <f t="shared" si="4"/>
        <v>-0.18842228790639848</v>
      </c>
      <c r="L11" s="63">
        <f t="shared" si="5"/>
        <v>-0.18842228790639848</v>
      </c>
      <c r="M11" s="62" t="s">
        <v>110</v>
      </c>
      <c r="N11" s="62" t="s">
        <v>111</v>
      </c>
      <c r="O11" s="63">
        <v>9</v>
      </c>
      <c r="P11" s="63">
        <f t="shared" si="6"/>
        <v>0.75711162566629353</v>
      </c>
      <c r="Q11" s="63">
        <f t="shared" si="7"/>
        <v>0.75711162566629353</v>
      </c>
      <c r="R11" s="63">
        <v>7.5</v>
      </c>
      <c r="S11" s="63">
        <f t="shared" si="8"/>
        <v>-1.0166084905048298</v>
      </c>
      <c r="T11" s="63">
        <f t="shared" si="9"/>
        <v>-1.0166084905048298</v>
      </c>
    </row>
    <row r="12" spans="1:20" ht="15.75" thickBot="1" x14ac:dyDescent="0.3">
      <c r="A12" s="61">
        <v>11</v>
      </c>
      <c r="B12" s="62" t="s">
        <v>208</v>
      </c>
      <c r="C12" s="63">
        <v>8</v>
      </c>
      <c r="D12" s="63">
        <f t="shared" si="0"/>
        <v>0.2041241452319317</v>
      </c>
      <c r="E12" s="63">
        <f t="shared" si="1"/>
        <v>0.2041241452319317</v>
      </c>
      <c r="F12" s="63">
        <v>9</v>
      </c>
      <c r="G12" s="63">
        <v>8.6</v>
      </c>
      <c r="H12" s="63">
        <f t="shared" si="2"/>
        <v>0.77211697351601005</v>
      </c>
      <c r="I12" s="63">
        <f t="shared" si="3"/>
        <v>0.77211697351601005</v>
      </c>
      <c r="J12" s="63">
        <v>10</v>
      </c>
      <c r="K12" s="63">
        <f t="shared" si="4"/>
        <v>1.3817634446469207</v>
      </c>
      <c r="L12" s="63">
        <f t="shared" si="5"/>
        <v>1.3817634446469207</v>
      </c>
      <c r="M12" s="62" t="s">
        <v>111</v>
      </c>
      <c r="N12" s="62" t="s">
        <v>110</v>
      </c>
      <c r="O12" s="63">
        <v>10</v>
      </c>
      <c r="P12" s="63">
        <f t="shared" si="6"/>
        <v>1.3676855173326592</v>
      </c>
      <c r="Q12" s="63">
        <f t="shared" si="7"/>
        <v>1.3676855173326592</v>
      </c>
      <c r="R12" s="63">
        <v>8.5</v>
      </c>
      <c r="S12" s="63">
        <f t="shared" si="8"/>
        <v>0.39534774630743258</v>
      </c>
      <c r="T12" s="63">
        <f t="shared" si="9"/>
        <v>0.39534774630743258</v>
      </c>
    </row>
    <row r="13" spans="1:20" ht="15.75" thickBot="1" x14ac:dyDescent="0.3">
      <c r="A13" s="61">
        <v>12</v>
      </c>
      <c r="B13" s="62" t="s">
        <v>208</v>
      </c>
      <c r="C13" s="63">
        <v>8</v>
      </c>
      <c r="D13" s="63">
        <f t="shared" si="0"/>
        <v>0.2041241452319317</v>
      </c>
      <c r="E13" s="63">
        <f t="shared" si="1"/>
        <v>0.2041241452319317</v>
      </c>
      <c r="F13" s="63">
        <v>9</v>
      </c>
      <c r="G13" s="63">
        <v>8.3000000000000007</v>
      </c>
      <c r="H13" s="63">
        <f t="shared" si="2"/>
        <v>0.39362826100816284</v>
      </c>
      <c r="I13" s="63">
        <f t="shared" si="3"/>
        <v>0.39362826100816284</v>
      </c>
      <c r="J13" s="63">
        <v>7</v>
      </c>
      <c r="K13" s="63">
        <f t="shared" si="4"/>
        <v>-0.97351515418305812</v>
      </c>
      <c r="L13" s="63">
        <f t="shared" si="5"/>
        <v>-0.97351515418305812</v>
      </c>
      <c r="M13" s="62" t="s">
        <v>112</v>
      </c>
      <c r="N13" s="62" t="s">
        <v>110</v>
      </c>
      <c r="O13" s="63">
        <v>6.5</v>
      </c>
      <c r="P13" s="63">
        <f t="shared" si="6"/>
        <v>-0.76932310349962063</v>
      </c>
      <c r="Q13" s="63">
        <f t="shared" si="7"/>
        <v>-0.76932310349962063</v>
      </c>
      <c r="R13" s="63">
        <v>8</v>
      </c>
      <c r="S13" s="63">
        <f t="shared" si="8"/>
        <v>-0.31063037209869865</v>
      </c>
      <c r="T13" s="63">
        <f t="shared" si="9"/>
        <v>-0.31063037209869865</v>
      </c>
    </row>
    <row r="14" spans="1:20" ht="15.75" thickBot="1" x14ac:dyDescent="0.3">
      <c r="A14" s="61">
        <v>13</v>
      </c>
      <c r="B14" s="62" t="s">
        <v>208</v>
      </c>
      <c r="C14" s="63">
        <v>6</v>
      </c>
      <c r="D14" s="63">
        <f t="shared" si="0"/>
        <v>-1.4969103983674976</v>
      </c>
      <c r="E14" s="63">
        <f t="shared" si="1"/>
        <v>-1.4969103983674976</v>
      </c>
      <c r="F14" s="63">
        <v>9</v>
      </c>
      <c r="G14" s="63">
        <v>7</v>
      </c>
      <c r="H14" s="63">
        <f t="shared" si="2"/>
        <v>-1.246489493192515</v>
      </c>
      <c r="I14" s="63">
        <f t="shared" si="3"/>
        <v>-1.246489493192515</v>
      </c>
      <c r="J14" s="63">
        <v>7</v>
      </c>
      <c r="K14" s="63">
        <f t="shared" si="4"/>
        <v>-0.97351515418305812</v>
      </c>
      <c r="L14" s="63">
        <f t="shared" si="5"/>
        <v>-0.97351515418305812</v>
      </c>
      <c r="M14" s="62" t="s">
        <v>110</v>
      </c>
      <c r="N14" s="62" t="s">
        <v>111</v>
      </c>
      <c r="O14" s="63">
        <v>6</v>
      </c>
      <c r="P14" s="63">
        <f t="shared" si="6"/>
        <v>-1.0746100493328035</v>
      </c>
      <c r="Q14" s="63">
        <f t="shared" si="7"/>
        <v>-1.0746100493328035</v>
      </c>
      <c r="R14" s="63">
        <v>8.5</v>
      </c>
      <c r="S14" s="63">
        <f t="shared" si="8"/>
        <v>0.39534774630743258</v>
      </c>
      <c r="T14" s="63">
        <f t="shared" si="9"/>
        <v>0.39534774630743258</v>
      </c>
    </row>
    <row r="15" spans="1:20" ht="15.75" thickBot="1" x14ac:dyDescent="0.3">
      <c r="A15" s="61">
        <v>14</v>
      </c>
      <c r="B15" s="62" t="s">
        <v>208</v>
      </c>
      <c r="C15" s="63">
        <v>10</v>
      </c>
      <c r="D15" s="63">
        <f t="shared" si="0"/>
        <v>1.905158688831361</v>
      </c>
      <c r="E15" s="63">
        <f t="shared" si="1"/>
        <v>1.905158688831361</v>
      </c>
      <c r="F15" s="63">
        <v>9</v>
      </c>
      <c r="G15" s="63">
        <v>8.6</v>
      </c>
      <c r="H15" s="63">
        <f t="shared" si="2"/>
        <v>0.77211697351601005</v>
      </c>
      <c r="I15" s="63">
        <f t="shared" si="3"/>
        <v>0.77211697351601005</v>
      </c>
      <c r="J15" s="63">
        <v>9</v>
      </c>
      <c r="K15" s="63">
        <f t="shared" si="4"/>
        <v>0.59667057837026116</v>
      </c>
      <c r="L15" s="63">
        <f t="shared" si="5"/>
        <v>0.59667057837026116</v>
      </c>
      <c r="M15" s="62" t="s">
        <v>109</v>
      </c>
      <c r="N15" s="62" t="s">
        <v>110</v>
      </c>
      <c r="O15" s="63">
        <v>10</v>
      </c>
      <c r="P15" s="63">
        <f t="shared" si="6"/>
        <v>1.3676855173326592</v>
      </c>
      <c r="Q15" s="63">
        <f t="shared" si="7"/>
        <v>1.3676855173326592</v>
      </c>
      <c r="R15" s="63">
        <v>7.5</v>
      </c>
      <c r="S15" s="63">
        <f t="shared" si="8"/>
        <v>-1.0166084905048298</v>
      </c>
      <c r="T15" s="63">
        <f t="shared" si="9"/>
        <v>-1.0166084905048298</v>
      </c>
    </row>
    <row r="16" spans="1:20" ht="15.75" thickBot="1" x14ac:dyDescent="0.3">
      <c r="A16" s="61">
        <v>15</v>
      </c>
      <c r="B16" s="62" t="s">
        <v>209</v>
      </c>
      <c r="C16" s="63">
        <v>8</v>
      </c>
      <c r="D16" s="63">
        <f t="shared" si="0"/>
        <v>0.2041241452319317</v>
      </c>
      <c r="E16" s="63">
        <f t="shared" si="1"/>
        <v>0.2041241452319317</v>
      </c>
      <c r="F16" s="63">
        <v>9</v>
      </c>
      <c r="G16" s="63">
        <v>8.6</v>
      </c>
      <c r="H16" s="63">
        <f t="shared" si="2"/>
        <v>0.77211697351601005</v>
      </c>
      <c r="I16" s="63">
        <f t="shared" si="3"/>
        <v>0.77211697351601005</v>
      </c>
      <c r="J16" s="63">
        <v>9</v>
      </c>
      <c r="K16" s="63">
        <f t="shared" si="4"/>
        <v>0.59667057837026116</v>
      </c>
      <c r="L16" s="63">
        <f t="shared" si="5"/>
        <v>0.59667057837026116</v>
      </c>
      <c r="M16" s="62" t="s">
        <v>111</v>
      </c>
      <c r="N16" s="62" t="s">
        <v>110</v>
      </c>
      <c r="O16" s="63">
        <v>10</v>
      </c>
      <c r="P16" s="63">
        <f t="shared" si="6"/>
        <v>1.3676855173326592</v>
      </c>
      <c r="Q16" s="63">
        <f t="shared" si="7"/>
        <v>1.3676855173326592</v>
      </c>
      <c r="R16" s="63">
        <v>7</v>
      </c>
      <c r="S16" s="63">
        <f t="shared" si="8"/>
        <v>-1.7225866089109612</v>
      </c>
      <c r="T16" s="63">
        <f t="shared" si="9"/>
        <v>-1.7225866089109612</v>
      </c>
    </row>
    <row r="17" spans="1:20" ht="15.75" thickBot="1" x14ac:dyDescent="0.3">
      <c r="A17" s="61">
        <v>16</v>
      </c>
      <c r="B17" s="62" t="s">
        <v>209</v>
      </c>
      <c r="C17" s="63">
        <v>8</v>
      </c>
      <c r="D17" s="63">
        <f t="shared" si="0"/>
        <v>0.2041241452319317</v>
      </c>
      <c r="E17" s="63">
        <f t="shared" si="1"/>
        <v>0.2041241452319317</v>
      </c>
      <c r="F17" s="63">
        <v>9</v>
      </c>
      <c r="G17" s="63">
        <v>9.5</v>
      </c>
      <c r="H17" s="63">
        <f t="shared" si="2"/>
        <v>1.907583111039556</v>
      </c>
      <c r="I17" s="63">
        <f t="shared" si="3"/>
        <v>1.907583111039556</v>
      </c>
      <c r="J17" s="63">
        <v>7</v>
      </c>
      <c r="K17" s="63">
        <f t="shared" si="4"/>
        <v>-0.97351515418305812</v>
      </c>
      <c r="L17" s="63">
        <f t="shared" si="5"/>
        <v>-0.97351515418305812</v>
      </c>
      <c r="M17" s="62" t="s">
        <v>109</v>
      </c>
      <c r="N17" s="62" t="s">
        <v>109</v>
      </c>
      <c r="O17" s="63">
        <v>9</v>
      </c>
      <c r="P17" s="63">
        <f t="shared" si="6"/>
        <v>0.75711162566629353</v>
      </c>
      <c r="Q17" s="63">
        <f t="shared" si="7"/>
        <v>0.75711162566629353</v>
      </c>
      <c r="R17" s="63">
        <v>7.5</v>
      </c>
      <c r="S17" s="63">
        <f t="shared" si="8"/>
        <v>-1.0166084905048298</v>
      </c>
      <c r="T17" s="63">
        <f t="shared" si="9"/>
        <v>-1.0166084905048298</v>
      </c>
    </row>
    <row r="18" spans="1:20" ht="15.75" thickBot="1" x14ac:dyDescent="0.3">
      <c r="A18" s="61">
        <v>17</v>
      </c>
      <c r="B18" s="62" t="s">
        <v>209</v>
      </c>
      <c r="C18" s="63">
        <v>8</v>
      </c>
      <c r="D18" s="63">
        <f t="shared" si="0"/>
        <v>0.2041241452319317</v>
      </c>
      <c r="E18" s="63">
        <f t="shared" si="1"/>
        <v>0.2041241452319317</v>
      </c>
      <c r="F18" s="63">
        <v>9</v>
      </c>
      <c r="G18" s="63">
        <v>6.3</v>
      </c>
      <c r="H18" s="63">
        <f t="shared" si="2"/>
        <v>-2.1296298223774954</v>
      </c>
      <c r="I18" s="63" t="str">
        <f t="shared" si="3"/>
        <v>Atipico</v>
      </c>
      <c r="J18" s="63">
        <v>8</v>
      </c>
      <c r="K18" s="63">
        <f t="shared" si="4"/>
        <v>-0.18842228790639848</v>
      </c>
      <c r="L18" s="63">
        <f t="shared" si="5"/>
        <v>-0.18842228790639848</v>
      </c>
      <c r="M18" s="62" t="s">
        <v>112</v>
      </c>
      <c r="N18" s="62" t="s">
        <v>111</v>
      </c>
      <c r="O18" s="63">
        <v>10</v>
      </c>
      <c r="P18" s="63">
        <f t="shared" si="6"/>
        <v>1.3676855173326592</v>
      </c>
      <c r="Q18" s="63">
        <f t="shared" si="7"/>
        <v>1.3676855173326592</v>
      </c>
      <c r="R18" s="63">
        <v>7.5</v>
      </c>
      <c r="S18" s="63">
        <f t="shared" si="8"/>
        <v>-1.0166084905048298</v>
      </c>
      <c r="T18" s="63">
        <f t="shared" si="9"/>
        <v>-1.0166084905048298</v>
      </c>
    </row>
    <row r="19" spans="1:20" ht="15.75" thickBot="1" x14ac:dyDescent="0.3">
      <c r="A19" s="61">
        <v>18</v>
      </c>
      <c r="B19" s="62" t="s">
        <v>209</v>
      </c>
      <c r="C19" s="63">
        <v>6</v>
      </c>
      <c r="D19" s="63">
        <f t="shared" si="0"/>
        <v>-1.4969103983674976</v>
      </c>
      <c r="E19" s="63">
        <f t="shared" si="1"/>
        <v>-1.4969103983674976</v>
      </c>
      <c r="F19" s="63">
        <v>9</v>
      </c>
      <c r="G19" s="63">
        <v>7.6</v>
      </c>
      <c r="H19" s="63">
        <f t="shared" si="2"/>
        <v>-0.48951206817681842</v>
      </c>
      <c r="I19" s="63">
        <f t="shared" si="3"/>
        <v>-0.48951206817681842</v>
      </c>
      <c r="J19" s="63">
        <v>9</v>
      </c>
      <c r="K19" s="63">
        <f t="shared" si="4"/>
        <v>0.59667057837026116</v>
      </c>
      <c r="L19" s="63">
        <f t="shared" si="5"/>
        <v>0.59667057837026116</v>
      </c>
      <c r="M19" s="62" t="s">
        <v>111</v>
      </c>
      <c r="N19" s="62" t="s">
        <v>111</v>
      </c>
      <c r="O19" s="63">
        <v>6</v>
      </c>
      <c r="P19" s="63">
        <f t="shared" si="6"/>
        <v>-1.0746100493328035</v>
      </c>
      <c r="Q19" s="63">
        <f t="shared" si="7"/>
        <v>-1.0746100493328035</v>
      </c>
      <c r="R19" s="63">
        <v>8.5</v>
      </c>
      <c r="S19" s="63">
        <f t="shared" si="8"/>
        <v>0.39534774630743258</v>
      </c>
      <c r="T19" s="63">
        <f t="shared" si="9"/>
        <v>0.39534774630743258</v>
      </c>
    </row>
    <row r="20" spans="1:20" ht="15.75" thickBot="1" x14ac:dyDescent="0.3">
      <c r="A20" s="61">
        <v>19</v>
      </c>
      <c r="B20" s="62" t="s">
        <v>209</v>
      </c>
      <c r="C20" s="63">
        <v>6</v>
      </c>
      <c r="D20" s="63">
        <f t="shared" si="0"/>
        <v>-1.4969103983674976</v>
      </c>
      <c r="E20" s="63">
        <f t="shared" si="1"/>
        <v>-1.4969103983674976</v>
      </c>
      <c r="F20" s="63">
        <v>9</v>
      </c>
      <c r="G20" s="63">
        <v>6.8</v>
      </c>
      <c r="H20" s="63">
        <f t="shared" si="2"/>
        <v>-1.498815301531081</v>
      </c>
      <c r="I20" s="63">
        <f t="shared" si="3"/>
        <v>-1.498815301531081</v>
      </c>
      <c r="J20" s="63">
        <v>4</v>
      </c>
      <c r="K20" s="63">
        <f t="shared" si="4"/>
        <v>-3.3287937530130369</v>
      </c>
      <c r="L20" s="63" t="str">
        <f t="shared" si="5"/>
        <v>Atipico</v>
      </c>
      <c r="M20" s="62" t="s">
        <v>112</v>
      </c>
      <c r="N20" s="62" t="s">
        <v>111</v>
      </c>
      <c r="O20" s="63">
        <v>6</v>
      </c>
      <c r="P20" s="63">
        <f t="shared" si="6"/>
        <v>-1.0746100493328035</v>
      </c>
      <c r="Q20" s="63">
        <f t="shared" si="7"/>
        <v>-1.0746100493328035</v>
      </c>
      <c r="R20" s="63">
        <v>9.5</v>
      </c>
      <c r="S20" s="63">
        <f t="shared" si="8"/>
        <v>1.8073039831196951</v>
      </c>
      <c r="T20" s="63">
        <f t="shared" si="9"/>
        <v>1.8073039831196951</v>
      </c>
    </row>
    <row r="21" spans="1:20" ht="15.75" thickBot="1" x14ac:dyDescent="0.3">
      <c r="A21" s="61">
        <v>20</v>
      </c>
      <c r="B21" s="62" t="s">
        <v>209</v>
      </c>
      <c r="C21" s="63">
        <v>6</v>
      </c>
      <c r="D21" s="63">
        <f t="shared" si="0"/>
        <v>-1.4969103983674976</v>
      </c>
      <c r="E21" s="63">
        <f t="shared" si="1"/>
        <v>-1.4969103983674976</v>
      </c>
      <c r="F21" s="63">
        <v>9</v>
      </c>
      <c r="G21" s="63">
        <v>7.5</v>
      </c>
      <c r="H21" s="63">
        <f t="shared" si="2"/>
        <v>-0.6156749723461008</v>
      </c>
      <c r="I21" s="63">
        <f t="shared" si="3"/>
        <v>-0.6156749723461008</v>
      </c>
      <c r="J21" s="63">
        <v>7</v>
      </c>
      <c r="K21" s="63">
        <f t="shared" si="4"/>
        <v>-0.97351515418305812</v>
      </c>
      <c r="L21" s="63">
        <f t="shared" si="5"/>
        <v>-0.97351515418305812</v>
      </c>
      <c r="M21" s="62" t="s">
        <v>111</v>
      </c>
      <c r="N21" s="62" t="s">
        <v>110</v>
      </c>
      <c r="O21" s="63">
        <v>6</v>
      </c>
      <c r="P21" s="63">
        <f t="shared" si="6"/>
        <v>-1.0746100493328035</v>
      </c>
      <c r="Q21" s="63">
        <f t="shared" si="7"/>
        <v>-1.0746100493328035</v>
      </c>
      <c r="R21" s="63">
        <v>8.5</v>
      </c>
      <c r="S21" s="63">
        <f t="shared" si="8"/>
        <v>0.39534774630743258</v>
      </c>
      <c r="T21" s="63">
        <f t="shared" si="9"/>
        <v>0.39534774630743258</v>
      </c>
    </row>
    <row r="22" spans="1:20" ht="15.75" thickBot="1" x14ac:dyDescent="0.3">
      <c r="A22" s="61">
        <v>21</v>
      </c>
      <c r="B22" s="62" t="s">
        <v>209</v>
      </c>
      <c r="C22" s="63">
        <v>8</v>
      </c>
      <c r="D22" s="63">
        <f t="shared" si="0"/>
        <v>0.2041241452319317</v>
      </c>
      <c r="E22" s="63">
        <f t="shared" si="1"/>
        <v>0.2041241452319317</v>
      </c>
      <c r="F22" s="63">
        <v>9</v>
      </c>
      <c r="G22" s="63">
        <v>7.7</v>
      </c>
      <c r="H22" s="63">
        <f t="shared" si="2"/>
        <v>-0.36334916400753492</v>
      </c>
      <c r="I22" s="63">
        <f t="shared" si="3"/>
        <v>-0.36334916400753492</v>
      </c>
      <c r="J22" s="63">
        <v>7</v>
      </c>
      <c r="K22" s="63">
        <f t="shared" si="4"/>
        <v>-0.97351515418305812</v>
      </c>
      <c r="L22" s="63">
        <f t="shared" si="5"/>
        <v>-0.97351515418305812</v>
      </c>
      <c r="M22" s="62" t="s">
        <v>112</v>
      </c>
      <c r="N22" s="62" t="s">
        <v>110</v>
      </c>
      <c r="O22" s="63">
        <v>6.5</v>
      </c>
      <c r="P22" s="63">
        <f t="shared" si="6"/>
        <v>-0.76932310349962063</v>
      </c>
      <c r="Q22" s="63">
        <f t="shared" si="7"/>
        <v>-0.76932310349962063</v>
      </c>
      <c r="R22" s="63">
        <v>8</v>
      </c>
      <c r="S22" s="63">
        <f t="shared" si="8"/>
        <v>-0.31063037209869865</v>
      </c>
      <c r="T22" s="63">
        <f t="shared" si="9"/>
        <v>-0.31063037209869865</v>
      </c>
    </row>
    <row r="23" spans="1:20" ht="15.75" thickBot="1" x14ac:dyDescent="0.3">
      <c r="A23" s="61">
        <v>22</v>
      </c>
      <c r="B23" s="62" t="s">
        <v>209</v>
      </c>
      <c r="C23" s="63">
        <v>6</v>
      </c>
      <c r="D23" s="63">
        <f t="shared" si="0"/>
        <v>-1.4969103983674976</v>
      </c>
      <c r="E23" s="63">
        <f t="shared" si="1"/>
        <v>-1.4969103983674976</v>
      </c>
      <c r="F23" s="63">
        <v>9</v>
      </c>
      <c r="G23" s="63">
        <v>8.6999999999999993</v>
      </c>
      <c r="H23" s="63">
        <f t="shared" si="2"/>
        <v>0.89827987768529238</v>
      </c>
      <c r="I23" s="63">
        <f t="shared" si="3"/>
        <v>0.89827987768529238</v>
      </c>
      <c r="J23" s="63">
        <v>8</v>
      </c>
      <c r="K23" s="63">
        <f t="shared" si="4"/>
        <v>-0.18842228790639848</v>
      </c>
      <c r="L23" s="63">
        <f t="shared" si="5"/>
        <v>-0.18842228790639848</v>
      </c>
      <c r="M23" s="62" t="s">
        <v>111</v>
      </c>
      <c r="N23" s="62" t="s">
        <v>109</v>
      </c>
      <c r="O23" s="63">
        <v>6</v>
      </c>
      <c r="P23" s="63">
        <f t="shared" si="6"/>
        <v>-1.0746100493328035</v>
      </c>
      <c r="Q23" s="63">
        <f t="shared" si="7"/>
        <v>-1.0746100493328035</v>
      </c>
      <c r="R23" s="63">
        <v>9</v>
      </c>
      <c r="S23" s="63">
        <f t="shared" si="8"/>
        <v>1.1013258647135638</v>
      </c>
      <c r="T23" s="63">
        <f t="shared" si="9"/>
        <v>1.1013258647135638</v>
      </c>
    </row>
    <row r="24" spans="1:20" ht="15.75" thickBot="1" x14ac:dyDescent="0.3">
      <c r="A24" s="61">
        <v>23</v>
      </c>
      <c r="B24" s="62" t="s">
        <v>209</v>
      </c>
      <c r="C24" s="63">
        <v>8</v>
      </c>
      <c r="D24" s="63">
        <f t="shared" si="0"/>
        <v>0.2041241452319317</v>
      </c>
      <c r="E24" s="63">
        <f t="shared" si="1"/>
        <v>0.2041241452319317</v>
      </c>
      <c r="F24" s="63">
        <v>9</v>
      </c>
      <c r="G24" s="63">
        <v>7.3</v>
      </c>
      <c r="H24" s="63">
        <f t="shared" si="2"/>
        <v>-0.8680007806846668</v>
      </c>
      <c r="I24" s="63">
        <f t="shared" si="3"/>
        <v>-0.8680007806846668</v>
      </c>
      <c r="J24" s="63">
        <v>10</v>
      </c>
      <c r="K24" s="63">
        <f t="shared" si="4"/>
        <v>1.3817634446469207</v>
      </c>
      <c r="L24" s="63">
        <f t="shared" si="5"/>
        <v>1.3817634446469207</v>
      </c>
      <c r="M24" s="62" t="s">
        <v>111</v>
      </c>
      <c r="N24" s="62" t="s">
        <v>111</v>
      </c>
      <c r="O24" s="63">
        <v>9</v>
      </c>
      <c r="P24" s="63">
        <f t="shared" si="6"/>
        <v>0.75711162566629353</v>
      </c>
      <c r="Q24" s="63">
        <f t="shared" si="7"/>
        <v>0.75711162566629353</v>
      </c>
      <c r="R24" s="63">
        <v>7</v>
      </c>
      <c r="S24" s="63">
        <f t="shared" si="8"/>
        <v>-1.7225866089109612</v>
      </c>
      <c r="T24" s="63">
        <f t="shared" si="9"/>
        <v>-1.7225866089109612</v>
      </c>
    </row>
    <row r="25" spans="1:20" ht="15.75" thickBot="1" x14ac:dyDescent="0.3">
      <c r="A25" s="61">
        <v>24</v>
      </c>
      <c r="B25" s="62" t="s">
        <v>209</v>
      </c>
      <c r="C25" s="63">
        <v>8</v>
      </c>
      <c r="D25" s="63">
        <f t="shared" si="0"/>
        <v>0.2041241452319317</v>
      </c>
      <c r="E25" s="63">
        <f t="shared" si="1"/>
        <v>0.2041241452319317</v>
      </c>
      <c r="F25" s="63">
        <v>9</v>
      </c>
      <c r="G25" s="63">
        <v>8.5</v>
      </c>
      <c r="H25" s="63">
        <f t="shared" si="2"/>
        <v>0.64595406934672761</v>
      </c>
      <c r="I25" s="63">
        <f t="shared" si="3"/>
        <v>0.64595406934672761</v>
      </c>
      <c r="J25" s="63">
        <v>9</v>
      </c>
      <c r="K25" s="63">
        <f t="shared" si="4"/>
        <v>0.59667057837026116</v>
      </c>
      <c r="L25" s="63">
        <f t="shared" si="5"/>
        <v>0.59667057837026116</v>
      </c>
      <c r="M25" s="62" t="s">
        <v>109</v>
      </c>
      <c r="N25" s="62" t="s">
        <v>109</v>
      </c>
      <c r="O25" s="63">
        <v>6.5</v>
      </c>
      <c r="P25" s="63">
        <f t="shared" si="6"/>
        <v>-0.76932310349962063</v>
      </c>
      <c r="Q25" s="63">
        <f t="shared" si="7"/>
        <v>-0.76932310349962063</v>
      </c>
      <c r="R25" s="63">
        <v>9</v>
      </c>
      <c r="S25" s="63">
        <f t="shared" si="8"/>
        <v>1.1013258647135638</v>
      </c>
      <c r="T25" s="63">
        <f t="shared" si="9"/>
        <v>1.1013258647135638</v>
      </c>
    </row>
    <row r="26" spans="1:20" ht="15.75" thickBot="1" x14ac:dyDescent="0.3">
      <c r="A26" s="61">
        <v>25</v>
      </c>
      <c r="B26" s="62" t="s">
        <v>209</v>
      </c>
      <c r="C26" s="63">
        <v>8</v>
      </c>
      <c r="D26" s="63">
        <f t="shared" si="0"/>
        <v>0.2041241452319317</v>
      </c>
      <c r="E26" s="63">
        <f t="shared" si="1"/>
        <v>0.2041241452319317</v>
      </c>
      <c r="F26" s="63">
        <v>9</v>
      </c>
      <c r="G26" s="63">
        <v>7</v>
      </c>
      <c r="H26" s="63">
        <f t="shared" si="2"/>
        <v>-1.246489493192515</v>
      </c>
      <c r="I26" s="63">
        <f t="shared" si="3"/>
        <v>-1.246489493192515</v>
      </c>
      <c r="J26" s="63">
        <v>9</v>
      </c>
      <c r="K26" s="63">
        <f t="shared" si="4"/>
        <v>0.59667057837026116</v>
      </c>
      <c r="L26" s="63">
        <f t="shared" si="5"/>
        <v>0.59667057837026116</v>
      </c>
      <c r="M26" s="62" t="s">
        <v>110</v>
      </c>
      <c r="N26" s="62" t="s">
        <v>109</v>
      </c>
      <c r="O26" s="63">
        <v>9</v>
      </c>
      <c r="P26" s="63">
        <f t="shared" si="6"/>
        <v>0.75711162566629353</v>
      </c>
      <c r="Q26" s="63">
        <f t="shared" si="7"/>
        <v>0.75711162566629353</v>
      </c>
      <c r="R26" s="63">
        <v>8.5</v>
      </c>
      <c r="S26" s="63">
        <f t="shared" si="8"/>
        <v>0.39534774630743258</v>
      </c>
      <c r="T26" s="63">
        <f t="shared" si="9"/>
        <v>0.39534774630743258</v>
      </c>
    </row>
    <row r="27" spans="1:20" x14ac:dyDescent="0.25">
      <c r="A27" t="s">
        <v>2</v>
      </c>
      <c r="C27">
        <f>AVERAGE(C2:C26)</f>
        <v>7.76</v>
      </c>
      <c r="F27">
        <f>AVERAGE(F2:F26)</f>
        <v>9</v>
      </c>
      <c r="G27">
        <f>AVERAGE(G2:G26)</f>
        <v>7.9880000000000004</v>
      </c>
      <c r="J27">
        <f>AVERAGE(J2:J26)</f>
        <v>8.24</v>
      </c>
      <c r="O27">
        <f>AVERAGE(O2:O26)</f>
        <v>7.76</v>
      </c>
      <c r="R27">
        <f>AVERAGE(R2:R26)</f>
        <v>8.2200000000000006</v>
      </c>
    </row>
    <row r="28" spans="1:20" x14ac:dyDescent="0.25">
      <c r="A28" t="s">
        <v>95</v>
      </c>
      <c r="C28">
        <f>_xlfn.STDEV.P(C2:C26)</f>
        <v>1.1757550765359255</v>
      </c>
      <c r="F28">
        <f>_xlfn.STDEV.P(F2:F26)</f>
        <v>0</v>
      </c>
      <c r="G28">
        <f>_xlfn.STDEV.P(G2:G26)</f>
        <v>0.79262601521776965</v>
      </c>
      <c r="J28">
        <f>_xlfn.STDEV.P(J2:J26)</f>
        <v>1.2737346662472526</v>
      </c>
      <c r="O28">
        <f>_xlfn.STDEV.P(O2:O26)</f>
        <v>1.6378034070058591</v>
      </c>
      <c r="R28">
        <f>_xlfn.STDEV.P(R2:R26)</f>
        <v>0.70823724838503099</v>
      </c>
    </row>
    <row r="29" spans="1:20" x14ac:dyDescent="0.25">
      <c r="A29" t="s">
        <v>210</v>
      </c>
      <c r="D29">
        <f>AVERAGE(D2:D26)</f>
        <v>1.0880185641326534E-16</v>
      </c>
      <c r="H29">
        <f>AVERAGE(H2:H26)</f>
        <v>-6.7501559897209518E-16</v>
      </c>
      <c r="K29">
        <f>AVERAGE(K2:K26)</f>
        <v>-1.7763568394002506E-16</v>
      </c>
      <c r="P29">
        <f>AVERAGE(P2:P26)</f>
        <v>8.8817841970012528E-17</v>
      </c>
      <c r="S29">
        <f>AVERAGE(S2:S26)</f>
        <v>-8.9928064994637676E-16</v>
      </c>
    </row>
    <row r="30" spans="1:20" x14ac:dyDescent="0.25">
      <c r="A30" t="s">
        <v>211</v>
      </c>
      <c r="D30">
        <f>_xlfn.STDEV.P(D2:D26)</f>
        <v>1.0000000000000002</v>
      </c>
      <c r="H30">
        <f>_xlfn.STDEV.P(H2:H26)</f>
        <v>1</v>
      </c>
      <c r="K30">
        <f>_xlfn.STDEV.P(K2:K26)</f>
        <v>0.99999999999999989</v>
      </c>
      <c r="P30">
        <f>_xlfn.STDEV.P(P2:P26)</f>
        <v>0.99999999999999989</v>
      </c>
      <c r="S30">
        <f>_xlfn.STDEV.P(S2:S26)</f>
        <v>0.99999999999999989</v>
      </c>
    </row>
    <row r="33" spans="1:2" x14ac:dyDescent="0.25">
      <c r="A33" t="s">
        <v>6</v>
      </c>
      <c r="B33" t="s">
        <v>213</v>
      </c>
    </row>
    <row r="34" spans="1:2" x14ac:dyDescent="0.25">
      <c r="A34" t="s">
        <v>214</v>
      </c>
      <c r="B34" t="s">
        <v>215</v>
      </c>
    </row>
    <row r="35" spans="1:2" x14ac:dyDescent="0.25">
      <c r="A35" t="s">
        <v>8</v>
      </c>
      <c r="B35" t="s">
        <v>215</v>
      </c>
    </row>
    <row r="36" spans="1:2" x14ac:dyDescent="0.25">
      <c r="A36" t="s">
        <v>139</v>
      </c>
      <c r="B36" t="s">
        <v>215</v>
      </c>
    </row>
    <row r="37" spans="1:2" x14ac:dyDescent="0.25">
      <c r="A37" t="s">
        <v>9</v>
      </c>
      <c r="B37" t="s">
        <v>216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19" sqref="A19"/>
    </sheetView>
  </sheetViews>
  <sheetFormatPr defaultRowHeight="15" x14ac:dyDescent="0.25"/>
  <sheetData>
    <row r="1" spans="1:14" x14ac:dyDescent="0.25">
      <c r="A1" t="s">
        <v>217</v>
      </c>
      <c r="B1" t="s">
        <v>2</v>
      </c>
      <c r="C1" t="s">
        <v>218</v>
      </c>
      <c r="D1" t="s">
        <v>3</v>
      </c>
      <c r="E1" t="s">
        <v>56</v>
      </c>
      <c r="F1" t="s">
        <v>79</v>
      </c>
      <c r="G1" t="s">
        <v>80</v>
      </c>
      <c r="H1" t="s">
        <v>219</v>
      </c>
      <c r="I1" t="s">
        <v>220</v>
      </c>
      <c r="N1" t="s">
        <v>104</v>
      </c>
    </row>
    <row r="2" spans="1:14" x14ac:dyDescent="0.25">
      <c r="A2" t="s">
        <v>109</v>
      </c>
      <c r="B2">
        <v>20</v>
      </c>
      <c r="C2">
        <v>4</v>
      </c>
      <c r="D2">
        <v>20.32</v>
      </c>
      <c r="E2">
        <v>20.149999999999999</v>
      </c>
      <c r="F2">
        <v>17.32</v>
      </c>
      <c r="G2">
        <v>22.68</v>
      </c>
      <c r="H2">
        <v>8</v>
      </c>
      <c r="I2">
        <v>32</v>
      </c>
    </row>
    <row r="3" spans="1:14" x14ac:dyDescent="0.25">
      <c r="A3" t="s">
        <v>110</v>
      </c>
      <c r="B3">
        <v>20</v>
      </c>
      <c r="C3">
        <v>6</v>
      </c>
      <c r="D3">
        <v>18</v>
      </c>
      <c r="E3">
        <v>17</v>
      </c>
      <c r="F3">
        <v>16</v>
      </c>
      <c r="G3">
        <v>24</v>
      </c>
      <c r="H3">
        <v>14</v>
      </c>
      <c r="I3">
        <v>42</v>
      </c>
    </row>
    <row r="6" spans="1:14" x14ac:dyDescent="0.25">
      <c r="C6" t="s">
        <v>221</v>
      </c>
      <c r="D6">
        <f>(C2/B2)*100</f>
        <v>20</v>
      </c>
      <c r="E6" t="s">
        <v>222</v>
      </c>
    </row>
    <row r="7" spans="1:14" x14ac:dyDescent="0.25">
      <c r="C7" t="s">
        <v>223</v>
      </c>
      <c r="D7">
        <f>(C3/B3)*100</f>
        <v>30</v>
      </c>
      <c r="E7" t="s">
        <v>222</v>
      </c>
    </row>
    <row r="10" spans="1:14" x14ac:dyDescent="0.25">
      <c r="A10" s="49" t="s">
        <v>224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  <row r="11" spans="1:14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14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</row>
    <row r="13" spans="1:14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14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  <row r="16" spans="1:14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4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</row>
  </sheetData>
  <mergeCells count="1">
    <mergeCell ref="A10:N1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Ex1</vt:lpstr>
      <vt:lpstr>ex2</vt:lpstr>
      <vt:lpstr>ex3</vt:lpstr>
      <vt:lpstr>ex4</vt:lpstr>
      <vt:lpstr>ex5</vt:lpstr>
      <vt:lpstr>ex6</vt:lpstr>
      <vt:lpstr>ex7</vt:lpstr>
      <vt:lpstr>ex11</vt:lpstr>
      <vt:lpstr>ex19</vt:lpstr>
      <vt:lpstr>ex21</vt:lpstr>
      <vt:lpstr>ex23</vt:lpstr>
      <vt:lpstr>ex25</vt:lpstr>
      <vt:lpstr>ex26</vt:lpstr>
      <vt:lpstr>ex29</vt:lpstr>
      <vt:lpstr>ex32</vt:lpstr>
      <vt:lpstr>ex33</vt:lpstr>
      <vt:lpstr>ex38</vt:lpstr>
      <vt:lpstr>ex40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Bastos</dc:creator>
  <cp:lastModifiedBy>Fernando Bastos</cp:lastModifiedBy>
  <dcterms:created xsi:type="dcterms:W3CDTF">2018-08-19T16:30:06Z</dcterms:created>
  <dcterms:modified xsi:type="dcterms:W3CDTF">2018-08-20T13:52:02Z</dcterms:modified>
</cp:coreProperties>
</file>